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Смета" sheetId="1" r:id="rId1"/>
    <sheet name="Без поставщиков" sheetId="6" r:id="rId2"/>
    <sheet name="Общий" sheetId="2" r:id="rId3"/>
    <sheet name="Отчет о совместимости" sheetId="5" r:id="rId4"/>
  </sheets>
  <definedNames>
    <definedName name="_xlnm.Print_Area" localSheetId="0">Смета!$A$1:$U$81</definedName>
  </definedNames>
  <calcPr calcId="145621" refMode="R1C1"/>
</workbook>
</file>

<file path=xl/calcChain.xml><?xml version="1.0" encoding="utf-8"?>
<calcChain xmlns="http://schemas.openxmlformats.org/spreadsheetml/2006/main">
  <c r="S6" i="1" l="1"/>
  <c r="S33" i="1"/>
  <c r="T33" i="1"/>
  <c r="U33" i="1" s="1"/>
  <c r="S10" i="1"/>
  <c r="S20" i="1"/>
  <c r="S17" i="1"/>
  <c r="S50" i="1"/>
  <c r="E13" i="1"/>
  <c r="D13" i="1"/>
  <c r="C13" i="1"/>
  <c r="T51" i="1"/>
  <c r="U51" i="1"/>
  <c r="T52" i="1"/>
  <c r="U52" i="1"/>
  <c r="T53" i="1"/>
  <c r="U53" i="1"/>
  <c r="D53" i="1"/>
  <c r="C53" i="1"/>
  <c r="D52" i="1"/>
  <c r="C52" i="1"/>
  <c r="G7" i="1"/>
  <c r="R70" i="1"/>
  <c r="N31" i="1"/>
  <c r="N30" i="1" s="1"/>
  <c r="T31" i="1"/>
  <c r="U31" i="1"/>
  <c r="D51" i="1"/>
  <c r="C51" i="1"/>
  <c r="T36" i="1"/>
  <c r="U36" i="1"/>
  <c r="T37" i="1"/>
  <c r="U37" i="1"/>
  <c r="D37" i="1"/>
  <c r="D36" i="1"/>
  <c r="T21" i="1"/>
  <c r="U21" i="1"/>
  <c r="T22" i="1"/>
  <c r="U22" i="1"/>
  <c r="T23" i="1"/>
  <c r="U23" i="1"/>
  <c r="T27" i="1"/>
  <c r="U27" i="1"/>
  <c r="T28" i="1"/>
  <c r="U28" i="1"/>
  <c r="T29" i="1"/>
  <c r="U29" i="1"/>
  <c r="T34" i="1"/>
  <c r="U34" i="1"/>
  <c r="T35" i="1"/>
  <c r="U35" i="1"/>
  <c r="T38" i="1"/>
  <c r="U38" i="1"/>
  <c r="T39" i="1"/>
  <c r="U39" i="1"/>
  <c r="T40" i="1"/>
  <c r="U40" i="1"/>
  <c r="T43" i="1"/>
  <c r="U43" i="1"/>
  <c r="T47" i="1"/>
  <c r="U47" i="1"/>
  <c r="T48" i="1"/>
  <c r="U48" i="1"/>
  <c r="T54" i="1"/>
  <c r="U54" i="1"/>
  <c r="T58" i="1"/>
  <c r="U58" i="1"/>
  <c r="T59" i="1"/>
  <c r="U59" i="1"/>
  <c r="T60" i="1"/>
  <c r="U60" i="1"/>
  <c r="T62" i="1"/>
  <c r="U62" i="1"/>
  <c r="T63" i="1"/>
  <c r="U63" i="1"/>
  <c r="T64" i="1"/>
  <c r="U64" i="1"/>
  <c r="T65" i="1"/>
  <c r="U65" i="1"/>
  <c r="T66" i="1"/>
  <c r="U66" i="1"/>
  <c r="T68" i="1"/>
  <c r="U68" i="1"/>
  <c r="T69" i="1"/>
  <c r="U69" i="1"/>
  <c r="T70" i="1"/>
  <c r="U70" i="1"/>
  <c r="T71" i="1"/>
  <c r="U71" i="1"/>
  <c r="T72" i="1"/>
  <c r="U72" i="1"/>
  <c r="T73" i="1"/>
  <c r="U73" i="1"/>
  <c r="T16" i="1"/>
  <c r="U16" i="1"/>
  <c r="R6" i="1"/>
  <c r="R10" i="1"/>
  <c r="R8" i="1"/>
  <c r="Q6" i="1"/>
  <c r="N6" i="1"/>
  <c r="O6" i="1"/>
  <c r="P6" i="1"/>
  <c r="M6" i="1"/>
  <c r="R5" i="1"/>
  <c r="Q5" i="1"/>
  <c r="P5" i="1"/>
  <c r="O5" i="1"/>
  <c r="N5" i="1"/>
  <c r="M5" i="1"/>
  <c r="L5" i="1"/>
  <c r="J5" i="1"/>
  <c r="I5" i="1"/>
  <c r="H5" i="1"/>
  <c r="H41" i="1"/>
  <c r="H30" i="1" s="1"/>
  <c r="T41" i="1"/>
  <c r="U41" i="1" s="1"/>
  <c r="G9" i="1"/>
  <c r="G6" i="1"/>
  <c r="G19" i="1"/>
  <c r="F46" i="1"/>
  <c r="F44" i="1"/>
  <c r="G18" i="1"/>
  <c r="R49" i="1"/>
  <c r="T49" i="1"/>
  <c r="U49" i="1"/>
  <c r="R74" i="1"/>
  <c r="R50" i="1"/>
  <c r="R25" i="1"/>
  <c r="T25" i="1"/>
  <c r="U25" i="1" s="1"/>
  <c r="R26" i="1"/>
  <c r="T26" i="1"/>
  <c r="U26" i="1"/>
  <c r="R46" i="1"/>
  <c r="R44" i="1"/>
  <c r="Q32" i="1"/>
  <c r="Q30" i="1"/>
  <c r="Q18" i="1"/>
  <c r="Q19" i="1"/>
  <c r="Q7" i="1"/>
  <c r="Q50" i="1"/>
  <c r="Q10" i="1"/>
  <c r="Q8" i="1"/>
  <c r="Q46" i="1"/>
  <c r="Q44" i="1"/>
  <c r="P46" i="1"/>
  <c r="P50" i="1"/>
  <c r="P10" i="1"/>
  <c r="P8" i="1"/>
  <c r="P42" i="1"/>
  <c r="T42" i="1" s="1"/>
  <c r="U42" i="1" s="1"/>
  <c r="P30" i="1"/>
  <c r="O18" i="1"/>
  <c r="O30" i="1"/>
  <c r="N55" i="1"/>
  <c r="N50" i="1"/>
  <c r="N44" i="1" s="1"/>
  <c r="N7" i="1"/>
  <c r="N46" i="1"/>
  <c r="N10" i="1"/>
  <c r="L20" i="1"/>
  <c r="M20" i="1"/>
  <c r="M18" i="1"/>
  <c r="M17" i="1" s="1"/>
  <c r="M50" i="1"/>
  <c r="L32" i="1"/>
  <c r="L30" i="1" s="1"/>
  <c r="L46" i="1"/>
  <c r="L18" i="1"/>
  <c r="L17" i="1"/>
  <c r="L50" i="1"/>
  <c r="L44" i="1"/>
  <c r="K7" i="1"/>
  <c r="K6" i="1"/>
  <c r="K5" i="1"/>
  <c r="K18" i="1"/>
  <c r="K9" i="1"/>
  <c r="K8" i="1"/>
  <c r="K50" i="1"/>
  <c r="K46" i="1"/>
  <c r="K44" i="1" s="1"/>
  <c r="I6" i="1"/>
  <c r="I32" i="1"/>
  <c r="I7" i="1"/>
  <c r="J7" i="1"/>
  <c r="I18" i="1"/>
  <c r="I42" i="1"/>
  <c r="J46" i="1"/>
  <c r="J44" i="1" s="1"/>
  <c r="J10" i="1"/>
  <c r="T10" i="1" s="1"/>
  <c r="U10" i="1" s="1"/>
  <c r="H18" i="1"/>
  <c r="T18" i="1" s="1"/>
  <c r="U18" i="1" s="1"/>
  <c r="H7" i="1"/>
  <c r="H6" i="1"/>
  <c r="R7" i="1"/>
  <c r="P74" i="1"/>
  <c r="P7" i="1"/>
  <c r="O9" i="1"/>
  <c r="O8" i="1" s="1"/>
  <c r="O7" i="1"/>
  <c r="O46" i="1"/>
  <c r="N74" i="1"/>
  <c r="T74" i="1"/>
  <c r="U74" i="1" s="1"/>
  <c r="O44" i="1"/>
  <c r="O24" i="1"/>
  <c r="P55" i="1"/>
  <c r="Q24" i="1"/>
  <c r="Q55" i="1"/>
  <c r="R30" i="1"/>
  <c r="R55" i="1"/>
  <c r="L6" i="1"/>
  <c r="J74" i="1"/>
  <c r="J6" i="1"/>
  <c r="M57" i="1"/>
  <c r="T57" i="1" s="1"/>
  <c r="U57" i="1" s="1"/>
  <c r="O57" i="1"/>
  <c r="O55" i="1"/>
  <c r="O42" i="1"/>
  <c r="M56" i="1"/>
  <c r="T56" i="1"/>
  <c r="U56" i="1"/>
  <c r="M61" i="1"/>
  <c r="T61" i="1"/>
  <c r="U61" i="1"/>
  <c r="M55" i="1"/>
  <c r="M7" i="1"/>
  <c r="L7" i="1"/>
  <c r="L9" i="1"/>
  <c r="T9" i="1" s="1"/>
  <c r="U9" i="1" s="1"/>
  <c r="L8" i="1"/>
  <c r="L45" i="1"/>
  <c r="T45" i="1"/>
  <c r="U45" i="1"/>
  <c r="L9" i="2"/>
  <c r="K9" i="2"/>
  <c r="E5" i="2"/>
  <c r="E6" i="2" s="1"/>
  <c r="F5" i="2"/>
  <c r="K67" i="1"/>
  <c r="T67" i="1"/>
  <c r="U67" i="1"/>
  <c r="K55" i="1"/>
  <c r="E17" i="6"/>
  <c r="D17" i="6"/>
  <c r="C17" i="6"/>
  <c r="F17" i="6"/>
  <c r="E15" i="6"/>
  <c r="D15" i="6"/>
  <c r="C15" i="6"/>
  <c r="C18" i="6"/>
  <c r="F14" i="6"/>
  <c r="F13" i="6"/>
  <c r="F15" i="6"/>
  <c r="F18" i="6"/>
  <c r="F10" i="6"/>
  <c r="F9" i="6"/>
  <c r="E8" i="6"/>
  <c r="E9" i="6" s="1"/>
  <c r="D8" i="6"/>
  <c r="E7" i="6"/>
  <c r="D7" i="6"/>
  <c r="D9" i="6"/>
  <c r="C7" i="6"/>
  <c r="C9" i="6"/>
  <c r="E6" i="6"/>
  <c r="D6" i="6"/>
  <c r="C6" i="6"/>
  <c r="F5" i="6"/>
  <c r="F4" i="6"/>
  <c r="F6" i="6"/>
  <c r="F13" i="2"/>
  <c r="E17" i="2"/>
  <c r="D17" i="2"/>
  <c r="F14" i="2"/>
  <c r="F15" i="2" s="1"/>
  <c r="D7" i="2"/>
  <c r="E7" i="2"/>
  <c r="E9" i="2"/>
  <c r="D8" i="2"/>
  <c r="E8" i="2"/>
  <c r="C7" i="2"/>
  <c r="C9" i="2"/>
  <c r="F9" i="2"/>
  <c r="H46" i="1"/>
  <c r="H44" i="1"/>
  <c r="J41" i="1"/>
  <c r="J30" i="1"/>
  <c r="J9" i="1"/>
  <c r="J8" i="1"/>
  <c r="I41" i="1"/>
  <c r="I30" i="1"/>
  <c r="T30" i="1" s="1"/>
  <c r="U30" i="1" s="1"/>
  <c r="I9" i="1"/>
  <c r="I8" i="1"/>
  <c r="I19" i="1"/>
  <c r="I46" i="1"/>
  <c r="H9" i="1"/>
  <c r="H8" i="1"/>
  <c r="T75" i="1"/>
  <c r="U75" i="1"/>
  <c r="T15" i="1"/>
  <c r="U15" i="1" s="1"/>
  <c r="T14" i="1"/>
  <c r="U14" i="1"/>
  <c r="T12" i="1"/>
  <c r="U12" i="1" s="1"/>
  <c r="S44" i="1"/>
  <c r="G44" i="1"/>
  <c r="E44" i="1"/>
  <c r="D44" i="1" s="1"/>
  <c r="C44" i="1" s="1"/>
  <c r="N8" i="1"/>
  <c r="S8" i="1"/>
  <c r="S76" i="1" s="1"/>
  <c r="J13" i="1"/>
  <c r="J11" i="1"/>
  <c r="K13" i="1"/>
  <c r="K11" i="1"/>
  <c r="L13" i="1"/>
  <c r="L11" i="1"/>
  <c r="M13" i="1"/>
  <c r="M11" i="1"/>
  <c r="N13" i="1"/>
  <c r="N11" i="1"/>
  <c r="O13" i="1"/>
  <c r="O11" i="1"/>
  <c r="P13" i="1"/>
  <c r="P11" i="1"/>
  <c r="Q13" i="1"/>
  <c r="Q11" i="1"/>
  <c r="Q76" i="1" s="1"/>
  <c r="R13" i="1"/>
  <c r="R11" i="1"/>
  <c r="S13" i="1"/>
  <c r="S11" i="1"/>
  <c r="G13" i="1"/>
  <c r="J20" i="1"/>
  <c r="J17" i="1"/>
  <c r="K20" i="1"/>
  <c r="K17" i="1" s="1"/>
  <c r="N20" i="1"/>
  <c r="N17" i="1"/>
  <c r="O20" i="1"/>
  <c r="O17" i="1"/>
  <c r="P20" i="1"/>
  <c r="P17" i="1"/>
  <c r="Q20" i="1"/>
  <c r="Q17" i="1" s="1"/>
  <c r="R20" i="1"/>
  <c r="R17" i="1"/>
  <c r="G20" i="1"/>
  <c r="G17" i="1" s="1"/>
  <c r="J24" i="1"/>
  <c r="K24" i="1"/>
  <c r="M24" i="1"/>
  <c r="P24" i="1"/>
  <c r="S24" i="1"/>
  <c r="G24" i="1"/>
  <c r="K30" i="1"/>
  <c r="S30" i="1"/>
  <c r="G30" i="1"/>
  <c r="F30" i="1"/>
  <c r="E30" i="1"/>
  <c r="E55" i="1"/>
  <c r="D55" i="1" s="1"/>
  <c r="C55" i="1" s="1"/>
  <c r="L55" i="1"/>
  <c r="S55" i="1"/>
  <c r="I55" i="1"/>
  <c r="T55" i="1" s="1"/>
  <c r="U55" i="1" s="1"/>
  <c r="H55" i="1"/>
  <c r="G55" i="1"/>
  <c r="F55" i="1"/>
  <c r="D71" i="1"/>
  <c r="C71" i="1"/>
  <c r="D70" i="1"/>
  <c r="C70" i="1" s="1"/>
  <c r="D69" i="1"/>
  <c r="C69" i="1"/>
  <c r="I24" i="1"/>
  <c r="E15" i="2"/>
  <c r="F10" i="2"/>
  <c r="D6" i="2"/>
  <c r="D15" i="2"/>
  <c r="C15" i="2"/>
  <c r="C18" i="2"/>
  <c r="F4" i="2"/>
  <c r="F6" i="2" s="1"/>
  <c r="C6" i="2"/>
  <c r="D50" i="1"/>
  <c r="C50" i="1"/>
  <c r="I20" i="1"/>
  <c r="I17" i="1" s="1"/>
  <c r="H13" i="1"/>
  <c r="H11" i="1"/>
  <c r="H20" i="1"/>
  <c r="H17" i="1" s="1"/>
  <c r="F8" i="1"/>
  <c r="F13" i="1"/>
  <c r="F11" i="1"/>
  <c r="F76" i="1" s="1"/>
  <c r="F20" i="1"/>
  <c r="F17" i="1"/>
  <c r="F24" i="1"/>
  <c r="D67" i="1"/>
  <c r="C67" i="1" s="1"/>
  <c r="E8" i="1"/>
  <c r="D8" i="1"/>
  <c r="C8" i="1"/>
  <c r="E20" i="1"/>
  <c r="E17" i="1"/>
  <c r="E24" i="1"/>
  <c r="D24" i="1"/>
  <c r="C24" i="1" s="1"/>
  <c r="D42" i="1"/>
  <c r="C42" i="1"/>
  <c r="D74" i="1"/>
  <c r="C74" i="1" s="1"/>
  <c r="D19" i="1"/>
  <c r="C19" i="1"/>
  <c r="D54" i="1"/>
  <c r="C54" i="1" s="1"/>
  <c r="D49" i="1"/>
  <c r="C49" i="1"/>
  <c r="D48" i="1"/>
  <c r="C48" i="1" s="1"/>
  <c r="D68" i="1"/>
  <c r="C68" i="1"/>
  <c r="D66" i="1"/>
  <c r="C66" i="1" s="1"/>
  <c r="D41" i="1"/>
  <c r="C41" i="1"/>
  <c r="D75" i="1"/>
  <c r="C75" i="1" s="1"/>
  <c r="D73" i="1"/>
  <c r="C73" i="1"/>
  <c r="D23" i="1"/>
  <c r="D22" i="1"/>
  <c r="D65" i="1"/>
  <c r="C65" i="1"/>
  <c r="D64" i="1"/>
  <c r="C64" i="1" s="1"/>
  <c r="D63" i="1"/>
  <c r="C63" i="1"/>
  <c r="D62" i="1"/>
  <c r="C62" i="1" s="1"/>
  <c r="D61" i="1"/>
  <c r="C61" i="1"/>
  <c r="D60" i="1"/>
  <c r="C60" i="1" s="1"/>
  <c r="D59" i="1"/>
  <c r="C59" i="1"/>
  <c r="D58" i="1"/>
  <c r="C58" i="1" s="1"/>
  <c r="D57" i="1"/>
  <c r="C57" i="1"/>
  <c r="D56" i="1"/>
  <c r="C56" i="1" s="1"/>
  <c r="D47" i="1"/>
  <c r="C47" i="1"/>
  <c r="D45" i="1"/>
  <c r="C45" i="1" s="1"/>
  <c r="D43" i="1"/>
  <c r="C43" i="1"/>
  <c r="D40" i="1"/>
  <c r="C40" i="1" s="1"/>
  <c r="D39" i="1"/>
  <c r="C39" i="1"/>
  <c r="D38" i="1"/>
  <c r="C38" i="1" s="1"/>
  <c r="D35" i="1"/>
  <c r="C35" i="1"/>
  <c r="D34" i="1"/>
  <c r="C34" i="1" s="1"/>
  <c r="D33" i="1"/>
  <c r="C33" i="1"/>
  <c r="D32" i="1"/>
  <c r="C32" i="1" s="1"/>
  <c r="D31" i="1"/>
  <c r="C31" i="1"/>
  <c r="D29" i="1"/>
  <c r="C29" i="1" s="1"/>
  <c r="D28" i="1"/>
  <c r="C28" i="1"/>
  <c r="D27" i="1"/>
  <c r="C27" i="1" s="1"/>
  <c r="D26" i="1"/>
  <c r="C26" i="1"/>
  <c r="D25" i="1"/>
  <c r="C25" i="1" s="1"/>
  <c r="D5" i="1"/>
  <c r="C5" i="1"/>
  <c r="D6" i="1"/>
  <c r="C6" i="1" s="1"/>
  <c r="D7" i="1"/>
  <c r="C7" i="1"/>
  <c r="D16" i="1"/>
  <c r="C16" i="1" s="1"/>
  <c r="D72" i="1"/>
  <c r="C72" i="1"/>
  <c r="D18" i="1"/>
  <c r="C18" i="1" s="1"/>
  <c r="D12" i="1"/>
  <c r="C12" i="1"/>
  <c r="D10" i="1"/>
  <c r="C10" i="1" s="1"/>
  <c r="D9" i="1"/>
  <c r="C9" i="1"/>
  <c r="D21" i="1"/>
  <c r="D14" i="1"/>
  <c r="D15" i="1"/>
  <c r="D46" i="1"/>
  <c r="C46" i="1" s="1"/>
  <c r="I13" i="1"/>
  <c r="I11" i="1"/>
  <c r="N24" i="1"/>
  <c r="J55" i="1"/>
  <c r="L24" i="1"/>
  <c r="M8" i="1"/>
  <c r="H24" i="1"/>
  <c r="M30" i="1"/>
  <c r="E11" i="1"/>
  <c r="D11" i="1"/>
  <c r="C11" i="1"/>
  <c r="T19" i="1"/>
  <c r="U19" i="1"/>
  <c r="G8" i="1"/>
  <c r="T32" i="1"/>
  <c r="U32" i="1" s="1"/>
  <c r="G11" i="1"/>
  <c r="D17" i="1"/>
  <c r="C17" i="1"/>
  <c r="T11" i="1"/>
  <c r="U11" i="1" s="1"/>
  <c r="D30" i="1"/>
  <c r="C30" i="1" s="1"/>
  <c r="D20" i="1"/>
  <c r="C20" i="1"/>
  <c r="T13" i="1"/>
  <c r="U13" i="1" s="1"/>
  <c r="M44" i="1"/>
  <c r="R24" i="1"/>
  <c r="R76" i="1"/>
  <c r="H76" i="1" l="1"/>
  <c r="G76" i="1"/>
  <c r="T17" i="1"/>
  <c r="U17" i="1" s="1"/>
  <c r="I44" i="1"/>
  <c r="I76" i="1" s="1"/>
  <c r="T46" i="1"/>
  <c r="U46" i="1" s="1"/>
  <c r="F18" i="2"/>
  <c r="T6" i="1"/>
  <c r="U6" i="1" s="1"/>
  <c r="K76" i="1"/>
  <c r="T5" i="1"/>
  <c r="M76" i="1"/>
  <c r="E76" i="1"/>
  <c r="D76" i="1" s="1"/>
  <c r="N76" i="1"/>
  <c r="F17" i="2"/>
  <c r="T50" i="1"/>
  <c r="U50" i="1" s="1"/>
  <c r="T20" i="1"/>
  <c r="U20" i="1" s="1"/>
  <c r="J76" i="1"/>
  <c r="O76" i="1"/>
  <c r="T8" i="1"/>
  <c r="U8" i="1" s="1"/>
  <c r="T24" i="1"/>
  <c r="U24" i="1" s="1"/>
  <c r="D9" i="2"/>
  <c r="P44" i="1"/>
  <c r="P76" i="1" s="1"/>
  <c r="L76" i="1"/>
  <c r="T7" i="1"/>
  <c r="U7" i="1" s="1"/>
  <c r="T44" i="1" l="1"/>
  <c r="U44" i="1" s="1"/>
  <c r="C76" i="1"/>
  <c r="D81" i="1"/>
  <c r="T76" i="1"/>
  <c r="U5" i="1"/>
  <c r="U76" i="1" s="1"/>
  <c r="C37" i="1" l="1"/>
  <c r="C36" i="1"/>
</calcChain>
</file>

<file path=xl/comments1.xml><?xml version="1.0" encoding="utf-8"?>
<comments xmlns="http://schemas.openxmlformats.org/spreadsheetml/2006/main">
  <authors>
    <author>Админ</author>
    <author>Максим</author>
    <author>User</author>
  </authors>
  <commentLis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Куртка, брюки,костюм 07.03.12 по 1 шт
</t>
        </r>
      </text>
    </comment>
    <comment ref="N31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 поверкой строба</t>
        </r>
      </text>
    </comment>
    <comment ref="M32" authorId="0">
      <text>
        <r>
          <rPr>
            <b/>
            <sz val="8"/>
            <color indexed="81"/>
            <rFont val="Tahoma"/>
            <family val="2"/>
            <charset val="204"/>
          </rPr>
          <t>Админ:</t>
        </r>
        <r>
          <rPr>
            <sz val="8"/>
            <color indexed="81"/>
            <rFont val="Tahoma"/>
            <family val="2"/>
            <charset val="204"/>
          </rPr>
          <t xml:space="preserve">
НДФЛ Ляшенко
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Проверка трехфазного тока МРСК Юга
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Поверка манометров
</t>
        </r>
      </text>
    </comment>
    <comment ref="I41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СБ Арсенал - 18344, доводчик на дверь - 2523
</t>
        </r>
      </text>
    </comment>
    <comment ref="O50" authorId="2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Насос
</t>
        </r>
      </text>
    </comment>
    <comment ref="S50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Насосы</t>
        </r>
      </text>
    </comment>
    <comment ref="O59" authorId="0">
      <text>
        <r>
          <rPr>
            <b/>
            <sz val="8"/>
            <color indexed="81"/>
            <rFont val="Tahoma"/>
            <family val="2"/>
            <charset val="204"/>
          </rPr>
          <t>Админ:</t>
        </r>
        <r>
          <rPr>
            <sz val="8"/>
            <color indexed="81"/>
            <rFont val="Tahoma"/>
            <family val="2"/>
            <charset val="204"/>
          </rPr>
          <t xml:space="preserve">
НДФЛ 
</t>
        </r>
      </text>
    </comment>
    <comment ref="P67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пешеходная дорожка к остановке</t>
        </r>
      </text>
    </comment>
    <comment ref="K68" authorId="0">
      <text>
        <r>
          <rPr>
            <b/>
            <sz val="8"/>
            <color indexed="81"/>
            <rFont val="Tahoma"/>
            <family val="2"/>
            <charset val="204"/>
          </rPr>
          <t>Админ:</t>
        </r>
        <r>
          <rPr>
            <sz val="8"/>
            <color indexed="81"/>
            <rFont val="Tahoma"/>
            <family val="2"/>
            <charset val="204"/>
          </rPr>
          <t xml:space="preserve">
Козлов Артем 1000,1500,1500 из кассы
</t>
        </r>
      </text>
    </comment>
  </commentList>
</comments>
</file>

<file path=xl/sharedStrings.xml><?xml version="1.0" encoding="utf-8"?>
<sst xmlns="http://schemas.openxmlformats.org/spreadsheetml/2006/main" count="203" uniqueCount="182">
  <si>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</si>
  <si>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</si>
  <si>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</si>
  <si>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</si>
  <si>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</si>
  <si>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Фонд оплаты труда с начислениями обслуживающему персоналу с НДФЛ</t>
  </si>
  <si>
    <t>Налоговые и иные обязательные платежи с ФОТ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</si>
  <si>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</si>
  <si>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</si>
  <si>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</si>
  <si>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</si>
  <si>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</si>
  <si>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</si>
  <si>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</si>
  <si>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</si>
  <si>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</si>
  <si>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</si>
  <si>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</si>
  <si>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</si>
  <si>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</si>
  <si>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</si>
  <si>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</si>
  <si>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</si>
  <si>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</si>
  <si>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</si>
  <si>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</si>
  <si>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остекление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</si>
  <si>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</si>
  <si>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</si>
  <si>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</si>
  <si>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</si>
  <si>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</si>
  <si>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</si>
  <si>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</si>
  <si>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</si>
  <si>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</si>
  <si>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</si>
  <si>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</si>
  <si>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</si>
  <si>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</si>
  <si>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</si>
  <si>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</si>
  <si>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</si>
  <si>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</si>
  <si>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</si>
  <si>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</si>
  <si>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</si>
  <si>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</si>
  <si>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4.1</t>
  </si>
  <si>
    <t>4.2</t>
  </si>
  <si>
    <t>5.1</t>
  </si>
  <si>
    <t>5.2</t>
  </si>
  <si>
    <t>5.2.1</t>
  </si>
  <si>
    <t>5.2.2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</si>
  <si>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</si>
  <si>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</si>
  <si>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</si>
  <si>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</si>
  <si>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</si>
  <si>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</si>
  <si>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</si>
  <si>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</si>
  <si>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</si>
  <si>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</si>
  <si>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</si>
  <si>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</si>
  <si>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</si>
  <si>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</si>
  <si>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</si>
  <si>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</si>
  <si>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</si>
  <si>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</si>
  <si>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</si>
  <si>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</si>
  <si>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</si>
  <si>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</si>
  <si>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</si>
  <si>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</si>
  <si>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</si>
  <si>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</si>
  <si>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</si>
  <si>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</si>
  <si>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</si>
  <si>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</si>
  <si>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</si>
  <si>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</si>
  <si>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</si>
  <si>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</si>
  <si>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7.3.1</t>
  </si>
  <si>
    <t>7.3.2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</si>
  <si>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</si>
  <si>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</si>
  <si>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</si>
  <si>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</si>
  <si>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</si>
  <si>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7.3.3</t>
  </si>
  <si>
    <t>содержание оргтехники (заправки картриджей, запасные части и т.д.)</t>
  </si>
  <si>
    <t>10.4</t>
  </si>
  <si>
    <t>Обслуживание и благоустройство мест общего пользования (по договорам):</t>
  </si>
  <si>
    <t>очистка кровли от снега и мусора</t>
  </si>
  <si>
    <t>10.5</t>
  </si>
  <si>
    <t>закупка и ремонт почтовых ящиков</t>
  </si>
  <si>
    <t>Плановый доход от хозяйственной деятельности (за вычетом налогов)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</si>
  <si>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</si>
  <si>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</si>
  <si>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</si>
  <si>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</si>
  <si>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</si>
  <si>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</si>
  <si>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окрашивание и ремонт лавочек, детского игрового оборудования, ограждений</t>
  </si>
  <si>
    <t>дезинфекция и дератизация подвальных помещений</t>
  </si>
  <si>
    <t>9.11</t>
  </si>
  <si>
    <t>спец. одежда для персонала</t>
  </si>
  <si>
    <t>песок для песочниц, земля для газонов, пастосмесь противогололедная</t>
  </si>
  <si>
    <t>11.13</t>
  </si>
  <si>
    <t>дорожные работы (асфальт, щебень, наем спецтехники)</t>
  </si>
  <si>
    <t>электротехнические материалы:</t>
  </si>
  <si>
    <t>Финансовый отчет</t>
  </si>
  <si>
    <t>Р/счет</t>
  </si>
  <si>
    <t>Касса</t>
  </si>
  <si>
    <t>В подотчете</t>
  </si>
  <si>
    <t xml:space="preserve">Задолженность </t>
  </si>
  <si>
    <t>жильцы</t>
  </si>
  <si>
    <t>поставщики</t>
  </si>
  <si>
    <t xml:space="preserve">Остаток на </t>
  </si>
  <si>
    <t>Итого по р/сч</t>
  </si>
  <si>
    <t>Итого по кассе</t>
  </si>
  <si>
    <t>Итого задолженность</t>
  </si>
  <si>
    <t>Коментарий</t>
  </si>
  <si>
    <t>Приход</t>
  </si>
  <si>
    <t>Расход</t>
  </si>
  <si>
    <t>Поступило</t>
  </si>
  <si>
    <t>Начислено</t>
  </si>
  <si>
    <t>Итого жильцы</t>
  </si>
  <si>
    <t>Оплачено</t>
  </si>
  <si>
    <t>канцтовары (бумага, ручки и т.д.)</t>
  </si>
  <si>
    <t xml:space="preserve">январь </t>
  </si>
  <si>
    <t>опрессовка системы отопления и ГВС</t>
  </si>
  <si>
    <t>11.14</t>
  </si>
  <si>
    <t>11.15</t>
  </si>
  <si>
    <t>11.16</t>
  </si>
  <si>
    <t>установка ограждений детских площадок, клумбы</t>
  </si>
  <si>
    <t>заделка межпанельных швов, окрашивние фасада</t>
  </si>
  <si>
    <t>Расходы на проектирование котельного оборудования</t>
  </si>
  <si>
    <t>асфальтирование спортивной площадки</t>
  </si>
  <si>
    <t>На основании сметы расходов на 2012 г. Правление ТСЖ предлагает утвердить</t>
  </si>
  <si>
    <t>комплектующие и другое</t>
  </si>
  <si>
    <t>установка заградительных устройств (шлагбаумов)</t>
  </si>
  <si>
    <t>Остаток средств по статье "Содержание и ремонт жилья" за 2011 год</t>
  </si>
  <si>
    <t>техническому содержанию и ремонту общего имущества многоквартирного дома на 2012 год</t>
  </si>
  <si>
    <t>сантехническое оборудование</t>
  </si>
  <si>
    <t>Сумма расходов по месяцам 2012 года, руб.</t>
  </si>
  <si>
    <t>Отчет о совместимости для Смета техобслуживания 2012_1.xls</t>
  </si>
  <si>
    <t>Дата отчета: 04.05.2012 17:31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</si>
  <si>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</si>
  <si>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</si>
  <si>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</si>
  <si>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</si>
  <si>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1С 8.2 обновления (подписка)</t>
  </si>
  <si>
    <t xml:space="preserve"> 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</si>
  <si>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</si>
  <si>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</si>
  <si>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</si>
  <si>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</si>
  <si>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</si>
  <si>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9.12</t>
  </si>
  <si>
    <t>9.13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</si>
  <si>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</si>
  <si>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</si>
  <si>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</si>
  <si>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</si>
  <si>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топливо, расходные материалы для бензоинструмента</t>
  </si>
  <si>
    <t>установка забора на границе землеотвода</t>
  </si>
  <si>
    <t>изготовление и установка спортивных брусьев и рукохода</t>
  </si>
  <si>
    <t>усиление ограждения спортивной площадки</t>
  </si>
  <si>
    <t>Услуги банка и платежных систем, нотариальные услуги, юстиция</t>
  </si>
  <si>
    <t>10.9</t>
  </si>
  <si>
    <t>10.10</t>
  </si>
  <si>
    <t>снегоотбрасыватель самоходный</t>
  </si>
  <si>
    <t>коврики грязезащитные в подъезды</t>
  </si>
  <si>
    <t>в январе 2012 за декабрь 2011г.</t>
  </si>
  <si>
    <t>в январе 2013 за декабрь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</si>
</sst>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indexed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3" fillId="0" borderId="18" xfId="0" applyNumberFormat="1" applyFont="1" applyBorder="1"/>
    <xf numFmtId="1" fontId="5" fillId="0" borderId="19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0" fontId="5" fillId="5" borderId="28" xfId="0" applyFont="1" applyFill="1" applyBorder="1"/>
    <xf numFmtId="0" fontId="5" fillId="5" borderId="29" xfId="0" applyFont="1" applyFill="1" applyBorder="1"/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40" xfId="0" applyNumberFormat="1" applyFont="1" applyFill="1" applyBorder="1" applyAlignment="1"/>
    <xf numFmtId="0" fontId="1" fillId="0" borderId="41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7" fillId="0" borderId="34" xfId="0" applyNumberFormat="1" applyFont="1" applyFill="1" applyBorder="1" applyAlignment="1"/>
    <xf numFmtId="0" fontId="1" fillId="0" borderId="40" xfId="0" applyFont="1" applyFill="1" applyBorder="1" applyAlignment="1"/>
    <xf numFmtId="0" fontId="1" fillId="0" borderId="41" xfId="0" applyFont="1" applyFill="1" applyBorder="1" applyAlignment="1"/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7" fillId="0" borderId="34" xfId="0" applyFont="1" applyFill="1" applyBorder="1" applyAlignment="1"/>
    <xf numFmtId="0" fontId="3" fillId="0" borderId="31" xfId="0" applyFont="1" applyBorder="1" applyAlignment="1">
      <alignment horizontal="left"/>
    </xf>
    <xf numFmtId="2" fontId="3" fillId="0" borderId="4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4" xfId="0" applyFont="1" applyBorder="1"/>
    <xf numFmtId="0" fontId="0" fillId="0" borderId="34" xfId="0" applyBorder="1"/>
    <xf numFmtId="14" fontId="5" fillId="0" borderId="34" xfId="0" applyNumberFormat="1" applyFont="1" applyBorder="1"/>
    <xf numFmtId="0" fontId="5" fillId="0" borderId="41" xfId="0" applyFont="1" applyFill="1" applyBorder="1"/>
    <xf numFmtId="16" fontId="5" fillId="3" borderId="46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/>
    <xf numFmtId="0" fontId="7" fillId="0" borderId="48" xfId="0" applyFont="1" applyFill="1" applyBorder="1" applyAlignment="1"/>
    <xf numFmtId="0" fontId="5" fillId="5" borderId="49" xfId="0" applyFont="1" applyFill="1" applyBorder="1"/>
    <xf numFmtId="16" fontId="5" fillId="3" borderId="50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4" xfId="0" applyFont="1" applyFill="1" applyBorder="1"/>
    <xf numFmtId="0" fontId="7" fillId="0" borderId="51" xfId="0" applyFont="1" applyFill="1" applyBorder="1"/>
    <xf numFmtId="0" fontId="3" fillId="0" borderId="34" xfId="0" applyNumberFormat="1" applyFont="1" applyFill="1" applyBorder="1" applyAlignment="1"/>
    <xf numFmtId="0" fontId="3" fillId="0" borderId="52" xfId="0" applyNumberFormat="1" applyFont="1" applyFill="1" applyBorder="1" applyAlignment="1"/>
    <xf numFmtId="0" fontId="3" fillId="0" borderId="34" xfId="0" applyFont="1" applyFill="1" applyBorder="1" applyAlignment="1"/>
    <xf numFmtId="0" fontId="10" fillId="0" borderId="34" xfId="0" applyFont="1" applyFill="1" applyBorder="1" applyAlignment="1"/>
    <xf numFmtId="0" fontId="7" fillId="0" borderId="51" xfId="0" applyFont="1" applyFill="1" applyBorder="1" applyAlignment="1"/>
    <xf numFmtId="0" fontId="5" fillId="0" borderId="46" xfId="0" applyFont="1" applyFill="1" applyBorder="1"/>
    <xf numFmtId="0" fontId="3" fillId="0" borderId="48" xfId="0" applyNumberFormat="1" applyFont="1" applyFill="1" applyBorder="1" applyAlignment="1"/>
    <xf numFmtId="0" fontId="3" fillId="0" borderId="53" xfId="0" applyNumberFormat="1" applyFont="1" applyFill="1" applyBorder="1" applyAlignment="1"/>
    <xf numFmtId="0" fontId="3" fillId="0" borderId="48" xfId="0" applyFont="1" applyFill="1" applyBorder="1" applyAlignment="1"/>
    <xf numFmtId="0" fontId="7" fillId="0" borderId="54" xfId="0" applyFont="1" applyFill="1" applyBorder="1" applyAlignment="1"/>
    <xf numFmtId="0" fontId="3" fillId="0" borderId="33" xfId="0" applyFont="1" applyFill="1" applyBorder="1" applyAlignment="1"/>
    <xf numFmtId="0" fontId="5" fillId="0" borderId="50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49" xfId="0" applyFont="1" applyFill="1" applyBorder="1" applyAlignment="1"/>
    <xf numFmtId="0" fontId="7" fillId="0" borderId="29" xfId="0" applyFont="1" applyFill="1" applyBorder="1" applyAlignment="1"/>
    <xf numFmtId="2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Border="1" applyAlignment="1">
      <alignment horizontal="left"/>
    </xf>
    <xf numFmtId="2" fontId="7" fillId="0" borderId="61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5" borderId="63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1" fillId="0" borderId="64" xfId="0" applyFont="1" applyFill="1" applyBorder="1" applyAlignment="1"/>
    <xf numFmtId="0" fontId="1" fillId="0" borderId="64" xfId="0" applyFont="1" applyFill="1" applyBorder="1" applyAlignment="1">
      <alignment vertical="center"/>
    </xf>
    <xf numFmtId="0" fontId="7" fillId="0" borderId="61" xfId="0" applyFont="1" applyFill="1" applyBorder="1" applyAlignment="1"/>
    <xf numFmtId="0" fontId="1" fillId="0" borderId="65" xfId="0" applyFont="1" applyFill="1" applyBorder="1" applyAlignment="1"/>
    <xf numFmtId="1" fontId="7" fillId="0" borderId="66" xfId="0" applyNumberFormat="1" applyFont="1" applyBorder="1"/>
    <xf numFmtId="1" fontId="5" fillId="0" borderId="56" xfId="0" applyNumberFormat="1" applyFont="1" applyBorder="1"/>
    <xf numFmtId="1" fontId="5" fillId="0" borderId="67" xfId="0" applyNumberFormat="1" applyFont="1" applyBorder="1"/>
    <xf numFmtId="1" fontId="5" fillId="0" borderId="67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9" xfId="0" applyNumberFormat="1" applyFont="1" applyFill="1" applyBorder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14" fontId="0" fillId="0" borderId="34" xfId="0" applyNumberFormat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0" fillId="0" borderId="0" xfId="0" applyFill="1"/>
    <xf numFmtId="0" fontId="5" fillId="0" borderId="24" xfId="0" applyFont="1" applyFill="1" applyBorder="1"/>
    <xf numFmtId="0" fontId="5" fillId="0" borderId="40" xfId="0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7" fillId="0" borderId="71" xfId="0" applyFont="1" applyFill="1" applyBorder="1"/>
    <xf numFmtId="0" fontId="7" fillId="0" borderId="54" xfId="0" applyFont="1" applyFill="1" applyBorder="1"/>
    <xf numFmtId="0" fontId="7" fillId="0" borderId="48" xfId="0" applyNumberFormat="1" applyFont="1" applyFill="1" applyBorder="1" applyAlignment="1"/>
    <xf numFmtId="0" fontId="7" fillId="0" borderId="61" xfId="0" applyNumberFormat="1" applyFont="1" applyFill="1" applyBorder="1" applyAlignment="1"/>
    <xf numFmtId="0" fontId="3" fillId="0" borderId="33" xfId="0" applyNumberFormat="1" applyFont="1" applyFill="1" applyBorder="1" applyAlignment="1"/>
    <xf numFmtId="0" fontId="3" fillId="0" borderId="61" xfId="0" applyNumberFormat="1" applyFont="1" applyFill="1" applyBorder="1" applyAlignment="1"/>
    <xf numFmtId="0" fontId="3" fillId="0" borderId="72" xfId="0" applyNumberFormat="1" applyFont="1" applyFill="1" applyBorder="1" applyAlignment="1"/>
    <xf numFmtId="0" fontId="3" fillId="0" borderId="73" xfId="0" applyNumberFormat="1" applyFont="1" applyFill="1" applyBorder="1" applyAlignment="1"/>
    <xf numFmtId="0" fontId="7" fillId="0" borderId="0" xfId="0" applyFont="1" applyFill="1"/>
    <xf numFmtId="0" fontId="3" fillId="0" borderId="61" xfId="0" applyFont="1" applyFill="1" applyBorder="1" applyAlignment="1"/>
    <xf numFmtId="0" fontId="7" fillId="0" borderId="71" xfId="0" applyFont="1" applyFill="1" applyBorder="1" applyAlignment="1"/>
    <xf numFmtId="0" fontId="7" fillId="0" borderId="74" xfId="0" applyFont="1" applyFill="1" applyBorder="1" applyAlignment="1"/>
    <xf numFmtId="0" fontId="7" fillId="0" borderId="75" xfId="0" applyFont="1" applyFill="1" applyBorder="1" applyAlignment="1"/>
    <xf numFmtId="164" fontId="7" fillId="0" borderId="34" xfId="0" applyNumberFormat="1" applyFont="1" applyFill="1" applyBorder="1" applyAlignment="1"/>
    <xf numFmtId="0" fontId="7" fillId="0" borderId="28" xfId="0" applyFont="1" applyFill="1" applyBorder="1" applyAlignment="1"/>
    <xf numFmtId="0" fontId="7" fillId="0" borderId="0" xfId="0" applyFont="1" applyFill="1" applyBorder="1" applyAlignment="1"/>
    <xf numFmtId="0" fontId="5" fillId="0" borderId="76" xfId="0" applyFont="1" applyFill="1" applyBorder="1"/>
    <xf numFmtId="0" fontId="5" fillId="0" borderId="35" xfId="0" applyFont="1" applyFill="1" applyBorder="1"/>
    <xf numFmtId="1" fontId="5" fillId="0" borderId="13" xfId="0" applyNumberFormat="1" applyFont="1" applyBorder="1"/>
    <xf numFmtId="0" fontId="0" fillId="0" borderId="77" xfId="0" applyFill="1" applyBorder="1"/>
    <xf numFmtId="0" fontId="5" fillId="0" borderId="78" xfId="0" applyFont="1" applyFill="1" applyBorder="1"/>
    <xf numFmtId="1" fontId="5" fillId="7" borderId="16" xfId="0" applyNumberFormat="1" applyFont="1" applyFill="1" applyBorder="1"/>
    <xf numFmtId="1" fontId="5" fillId="7" borderId="67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61" xfId="0" applyFont="1" applyFill="1" applyBorder="1"/>
    <xf numFmtId="0" fontId="7" fillId="0" borderId="74" xfId="0" applyFont="1" applyFill="1" applyBorder="1"/>
    <xf numFmtId="0" fontId="7" fillId="0" borderId="79" xfId="0" applyFont="1" applyFill="1" applyBorder="1" applyAlignment="1"/>
    <xf numFmtId="0" fontId="5" fillId="4" borderId="13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3" borderId="7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workbookViewId="0">
      <pane xSplit="5" ySplit="4" topLeftCell="P5" activePane="bottomRight" state="frozen"/>
      <selection pane="topRight" activeCell="F1" sqref="F1"/>
      <selection pane="bottomLeft" activeCell="A5" sqref="A5"/>
      <selection pane="bottomRight" activeCell="C13" sqref="C13"/>
    </sheetView>
  </sheetViews>
  <sheetFormatPr defaultRowHeight="12.75" outlineLevelRow="2" x14ac:dyDescent="0.2"/>
  <cols>
    <col min="1" max="1" width="6" bestFit="1" customWidth="1"/>
    <col min="2" max="2" width="70.28515625" customWidth="1"/>
    <col min="3" max="3" width="9" customWidth="1"/>
    <col min="4" max="4" width="8.7109375" customWidth="1"/>
    <col min="5" max="5" width="8.140625" customWidth="1"/>
    <col min="7" max="7" width="10.5703125" customWidth="1"/>
    <col min="8" max="8" width="10.42578125" customWidth="1"/>
    <col min="9" max="9" width="10.28515625" customWidth="1"/>
    <col min="10" max="10" width="9.28515625" customWidth="1"/>
    <col min="11" max="11" width="10.42578125" customWidth="1"/>
    <col min="12" max="18" width="8.85546875" customWidth="1"/>
    <col min="19" max="19" width="9.7109375" customWidth="1"/>
  </cols>
  <sheetData>
    <row r="1" spans="1:21" x14ac:dyDescent="0.2">
      <c r="A1" s="200" t="s">
        <v>0</v>
      </c>
      <c r="B1" s="200"/>
      <c r="C1" s="200"/>
      <c r="D1" s="200"/>
      <c r="E1" s="200"/>
    </row>
    <row r="2" spans="1:21" ht="13.5" thickBot="1" x14ac:dyDescent="0.25">
      <c r="A2" s="200" t="s">
        <v>149</v>
      </c>
      <c r="B2" s="200"/>
      <c r="C2" s="200"/>
      <c r="D2" s="200"/>
      <c r="E2" s="200"/>
    </row>
    <row r="3" spans="1:21" ht="13.5" thickBot="1" x14ac:dyDescent="0.25">
      <c r="A3" s="201"/>
      <c r="B3" s="201"/>
      <c r="C3" s="201"/>
      <c r="D3" s="201"/>
      <c r="E3" s="201"/>
      <c r="F3" s="198" t="s">
        <v>151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32"/>
      <c r="T3" s="195" t="s">
        <v>46</v>
      </c>
      <c r="U3" s="195" t="s">
        <v>47</v>
      </c>
    </row>
    <row r="4" spans="1:21" ht="64.5" thickBot="1" x14ac:dyDescent="0.25">
      <c r="A4" s="9" t="s">
        <v>1</v>
      </c>
      <c r="B4" s="10" t="s">
        <v>2</v>
      </c>
      <c r="C4" s="13" t="s">
        <v>90</v>
      </c>
      <c r="D4" s="13" t="s">
        <v>3</v>
      </c>
      <c r="E4" s="20" t="s">
        <v>4</v>
      </c>
      <c r="F4" s="104" t="s">
        <v>180</v>
      </c>
      <c r="G4" s="100" t="s">
        <v>136</v>
      </c>
      <c r="H4" s="14" t="s">
        <v>35</v>
      </c>
      <c r="I4" s="15" t="s">
        <v>36</v>
      </c>
      <c r="J4" s="14" t="s">
        <v>37</v>
      </c>
      <c r="K4" s="15" t="s">
        <v>38</v>
      </c>
      <c r="L4" s="14" t="s">
        <v>39</v>
      </c>
      <c r="M4" s="15" t="s">
        <v>40</v>
      </c>
      <c r="N4" s="14" t="s">
        <v>41</v>
      </c>
      <c r="O4" s="15" t="s">
        <v>42</v>
      </c>
      <c r="P4" s="14" t="s">
        <v>43</v>
      </c>
      <c r="Q4" s="15" t="s">
        <v>44</v>
      </c>
      <c r="R4" s="22" t="s">
        <v>45</v>
      </c>
      <c r="S4" s="134" t="s">
        <v>181</v>
      </c>
      <c r="T4" s="196"/>
      <c r="U4" s="196"/>
    </row>
    <row r="5" spans="1:21" ht="13.5" thickBot="1" x14ac:dyDescent="0.25">
      <c r="A5" s="28">
        <v>1</v>
      </c>
      <c r="B5" s="6" t="s">
        <v>5</v>
      </c>
      <c r="C5" s="39">
        <f>D5/D78</f>
        <v>5.4820327165459917</v>
      </c>
      <c r="D5" s="16">
        <f t="shared" ref="D5:D42" si="0">E5/12</f>
        <v>136283.33333333334</v>
      </c>
      <c r="E5" s="69">
        <v>1635400</v>
      </c>
      <c r="F5" s="162"/>
      <c r="G5" s="105">
        <v>40668</v>
      </c>
      <c r="H5" s="183">
        <f>118434+15885-371</f>
        <v>133948</v>
      </c>
      <c r="I5" s="183">
        <f>57783+32408+64098-1628-4615+17944</f>
        <v>165990</v>
      </c>
      <c r="J5" s="183">
        <f>63345+12070+72815.5+9341-35500+73212+11395-1972-529-16052</f>
        <v>188125.5</v>
      </c>
      <c r="K5" s="183">
        <f>12070+12070+71563+13054+78359-35500+5820</f>
        <v>157436</v>
      </c>
      <c r="L5" s="183">
        <f>59908+10820+80105+5358-35500+13521-597-7484</f>
        <v>126131</v>
      </c>
      <c r="M5" s="183">
        <f>10700+75665-35500+4010-179+20516</f>
        <v>75212</v>
      </c>
      <c r="N5" s="183">
        <f>8843+68048+61694+9800+14005-35500-2773</f>
        <v>124117</v>
      </c>
      <c r="O5" s="183">
        <f>91444+14521+6700+53239+17387-35500-897-10444</f>
        <v>136450</v>
      </c>
      <c r="P5" s="183">
        <f>71753+12152+8740+67225-35500+10960-1407</f>
        <v>133923</v>
      </c>
      <c r="Q5" s="183">
        <f>77420+13263+55990+8369-35500+20797-40</f>
        <v>140299</v>
      </c>
      <c r="R5" s="183">
        <f>74321+11762+51249+7658+9011+66561-35500+18907+3480-14932</f>
        <v>192517</v>
      </c>
      <c r="S5" s="184"/>
      <c r="T5" s="185">
        <f>SUM(G5:S5)</f>
        <v>1614816.5</v>
      </c>
      <c r="U5" s="185">
        <f>E5-T5</f>
        <v>20583.5</v>
      </c>
    </row>
    <row r="6" spans="1:21" ht="13.5" thickBot="1" x14ac:dyDescent="0.25">
      <c r="A6" s="28">
        <v>2</v>
      </c>
      <c r="B6" s="6" t="s">
        <v>6</v>
      </c>
      <c r="C6" s="39">
        <f>D6/D78</f>
        <v>1.1073706087422901</v>
      </c>
      <c r="D6" s="16">
        <f t="shared" si="0"/>
        <v>27529.233333333334</v>
      </c>
      <c r="E6" s="69">
        <v>330350.8</v>
      </c>
      <c r="F6" s="186"/>
      <c r="G6" s="106">
        <f>24121.32+3116.36+4095.41+3925.92+311.63+4830.36-2786+120</f>
        <v>37735</v>
      </c>
      <c r="H6" s="106">
        <f>30726+2768+335-7171</f>
        <v>26658</v>
      </c>
      <c r="I6" s="106">
        <f>3847+338+40463-7171</f>
        <v>37477</v>
      </c>
      <c r="J6" s="106">
        <f>29115+2768+76-7171</f>
        <v>24788</v>
      </c>
      <c r="K6" s="106">
        <f>1937.47+67.29+29115+2768+338-7171</f>
        <v>27054.759999999995</v>
      </c>
      <c r="L6" s="106">
        <f>28031.14+224+339-7171</f>
        <v>21423.14</v>
      </c>
      <c r="M6" s="106">
        <f>24720+2850-7171-2110.93-1159.48</f>
        <v>17128.59</v>
      </c>
      <c r="N6" s="106">
        <f>606+31200+2850-7171-58.18</f>
        <v>27426.82</v>
      </c>
      <c r="O6" s="106">
        <f>35281.64+3756+468-7171+253.67</f>
        <v>32588.309999999998</v>
      </c>
      <c r="P6" s="106">
        <f>29090+2611+317-7171+674.68</f>
        <v>25521.68</v>
      </c>
      <c r="Q6" s="105">
        <f>380+34045+3902+1000-7171+529.44</f>
        <v>32685.439999999999</v>
      </c>
      <c r="R6" s="105">
        <f>30353+2430+328-7171+1225.53</f>
        <v>27165.53</v>
      </c>
      <c r="S6" s="163">
        <f>27142+2728+267-7171-7171</f>
        <v>15795</v>
      </c>
      <c r="T6" s="23">
        <f>SUM(G6:S6)</f>
        <v>353447.27</v>
      </c>
      <c r="U6" s="23">
        <f>E6-T6</f>
        <v>-23096.47000000003</v>
      </c>
    </row>
    <row r="7" spans="1:21" ht="13.5" thickBot="1" x14ac:dyDescent="0.25">
      <c r="A7" s="28">
        <v>3</v>
      </c>
      <c r="B7" s="6" t="s">
        <v>175</v>
      </c>
      <c r="C7" s="39">
        <f>D7/D78</f>
        <v>8.867658889782784E-2</v>
      </c>
      <c r="D7" s="16">
        <f t="shared" si="0"/>
        <v>2204.5</v>
      </c>
      <c r="E7" s="69">
        <v>26454</v>
      </c>
      <c r="F7" s="120"/>
      <c r="G7" s="114">
        <f>500+200+450+1620</f>
        <v>2770</v>
      </c>
      <c r="H7" s="105">
        <f>500+100+420</f>
        <v>1020</v>
      </c>
      <c r="I7" s="105">
        <f>500+2400+320.49+570+1028</f>
        <v>4818.49</v>
      </c>
      <c r="J7" s="105">
        <f>316.73+500+364.08+366.06+660+943</f>
        <v>3149.87</v>
      </c>
      <c r="K7" s="105">
        <f>500+357.82+590+391.8</f>
        <v>1839.62</v>
      </c>
      <c r="L7" s="105">
        <f>500+299.54+600+400.53</f>
        <v>1800.07</v>
      </c>
      <c r="M7" s="105">
        <f>500+690+378.33</f>
        <v>1568.33</v>
      </c>
      <c r="N7" s="105">
        <f>340.24+36.5+308.47+600+500</f>
        <v>1785.21</v>
      </c>
      <c r="O7" s="105">
        <f>500+457.22+20+630+266.2</f>
        <v>1873.42</v>
      </c>
      <c r="P7" s="105">
        <f>358.77+19+500+336.13+540</f>
        <v>1753.9</v>
      </c>
      <c r="Q7" s="105">
        <f>387.1+500+279.95+570</f>
        <v>1737.05</v>
      </c>
      <c r="R7" s="105">
        <f>371.61+30+500+256.25+332.81+37.5+810</f>
        <v>2338.17</v>
      </c>
      <c r="S7" s="163"/>
      <c r="T7" s="23">
        <f t="shared" ref="T7:T19" si="1">SUM(G7:S7)</f>
        <v>26454.129999999997</v>
      </c>
      <c r="U7" s="23">
        <f t="shared" ref="U7:U70" si="2">E7-T7</f>
        <v>-0.12999999999738066</v>
      </c>
    </row>
    <row r="8" spans="1:21" x14ac:dyDescent="0.2">
      <c r="A8" s="29">
        <v>4</v>
      </c>
      <c r="B8" s="7" t="s">
        <v>7</v>
      </c>
      <c r="C8" s="40">
        <f>D8/D78</f>
        <v>8.5797130598015553E-2</v>
      </c>
      <c r="D8" s="17">
        <f t="shared" si="0"/>
        <v>2132.9166666666665</v>
      </c>
      <c r="E8" s="70">
        <f>E9+E10</f>
        <v>25595</v>
      </c>
      <c r="F8" s="164">
        <f>SUM(F9:F10)</f>
        <v>0</v>
      </c>
      <c r="G8" s="99">
        <f>SUM(G9:G10)</f>
        <v>2237.96</v>
      </c>
      <c r="H8" s="99">
        <f>SUM(H9:H10)</f>
        <v>2796.8</v>
      </c>
      <c r="I8" s="99">
        <f>SUM(I9:I10)</f>
        <v>2308.41</v>
      </c>
      <c r="J8" s="99">
        <f t="shared" ref="J8:S8" si="3">SUM(J9:J10)</f>
        <v>2485.83</v>
      </c>
      <c r="K8" s="99">
        <f t="shared" si="3"/>
        <v>2153.6999999999998</v>
      </c>
      <c r="L8" s="99">
        <f t="shared" si="3"/>
        <v>1883.1</v>
      </c>
      <c r="M8" s="99">
        <f t="shared" si="3"/>
        <v>1736.96</v>
      </c>
      <c r="N8" s="99">
        <f t="shared" si="3"/>
        <v>1768</v>
      </c>
      <c r="O8" s="99">
        <f t="shared" si="3"/>
        <v>1724.69</v>
      </c>
      <c r="P8" s="99">
        <f t="shared" si="3"/>
        <v>1743.53</v>
      </c>
      <c r="Q8" s="99">
        <f t="shared" si="3"/>
        <v>1941.91</v>
      </c>
      <c r="R8" s="99">
        <f t="shared" si="3"/>
        <v>1533.8100000000002</v>
      </c>
      <c r="S8" s="99">
        <f t="shared" si="3"/>
        <v>598.25</v>
      </c>
      <c r="T8" s="24">
        <f t="shared" si="1"/>
        <v>24912.95</v>
      </c>
      <c r="U8" s="24">
        <f t="shared" si="2"/>
        <v>682.04999999999927</v>
      </c>
    </row>
    <row r="9" spans="1:21" s="60" customFormat="1" ht="12" outlineLevel="1" x14ac:dyDescent="0.2">
      <c r="A9" s="34" t="s">
        <v>48</v>
      </c>
      <c r="B9" s="46" t="s">
        <v>161</v>
      </c>
      <c r="C9" s="47">
        <f>D9/D78</f>
        <v>7.9092920353982299E-2</v>
      </c>
      <c r="D9" s="50">
        <f t="shared" si="0"/>
        <v>1966.25</v>
      </c>
      <c r="E9" s="52">
        <v>23595</v>
      </c>
      <c r="F9" s="165">
        <v>0</v>
      </c>
      <c r="G9" s="166">
        <f>360+1848.21</f>
        <v>2208.21</v>
      </c>
      <c r="H9" s="107">
        <f>1980.8+720</f>
        <v>2700.8</v>
      </c>
      <c r="I9" s="107">
        <f>2308.41</f>
        <v>2308.41</v>
      </c>
      <c r="J9" s="107">
        <f>120+2110.88</f>
        <v>2230.88</v>
      </c>
      <c r="K9" s="107">
        <f>273+1709.7</f>
        <v>1982.7</v>
      </c>
      <c r="L9" s="107">
        <f>1883.1</f>
        <v>1883.1</v>
      </c>
      <c r="M9" s="107">
        <v>1736.96</v>
      </c>
      <c r="N9" s="107">
        <v>1711</v>
      </c>
      <c r="O9" s="107">
        <f>1693.69</f>
        <v>1693.69</v>
      </c>
      <c r="P9" s="107">
        <v>1706.28</v>
      </c>
      <c r="Q9" s="107">
        <v>1816.92</v>
      </c>
      <c r="R9" s="107">
        <v>1115.53</v>
      </c>
      <c r="S9" s="192">
        <v>500.32</v>
      </c>
      <c r="T9" s="59">
        <f t="shared" si="1"/>
        <v>23594.799999999996</v>
      </c>
      <c r="U9" s="59">
        <f t="shared" si="2"/>
        <v>0.20000000000436557</v>
      </c>
    </row>
    <row r="10" spans="1:21" s="60" customFormat="1" outlineLevel="1" thickBot="1" x14ac:dyDescent="0.25">
      <c r="A10" s="35" t="s">
        <v>49</v>
      </c>
      <c r="B10" s="55" t="s">
        <v>8</v>
      </c>
      <c r="C10" s="56">
        <f>D10/D78</f>
        <v>6.7042102440332523E-3</v>
      </c>
      <c r="D10" s="51">
        <f t="shared" si="0"/>
        <v>166.66666666666666</v>
      </c>
      <c r="E10" s="71">
        <v>2000</v>
      </c>
      <c r="F10" s="167"/>
      <c r="G10" s="168">
        <v>29.75</v>
      </c>
      <c r="H10" s="108">
        <v>96</v>
      </c>
      <c r="I10" s="108"/>
      <c r="J10" s="108">
        <f>221+32.25+1.7</f>
        <v>254.95</v>
      </c>
      <c r="K10" s="108">
        <v>171</v>
      </c>
      <c r="L10" s="108"/>
      <c r="M10" s="108"/>
      <c r="N10" s="108">
        <f>40.5+16.5</f>
        <v>57</v>
      </c>
      <c r="O10" s="108">
        <v>31</v>
      </c>
      <c r="P10" s="108">
        <f>5.5+31.75</f>
        <v>37.25</v>
      </c>
      <c r="Q10" s="108">
        <f>31.75+93.24</f>
        <v>124.99</v>
      </c>
      <c r="R10" s="108">
        <f>165+31.66+31.66+31.66+31.66+31.66+31.66+31.66+31.66</f>
        <v>418.28000000000014</v>
      </c>
      <c r="S10" s="193">
        <f>30.84+30.84+36.25</f>
        <v>97.93</v>
      </c>
      <c r="T10" s="59">
        <f t="shared" si="1"/>
        <v>1318.1500000000003</v>
      </c>
      <c r="U10" s="72">
        <f t="shared" si="2"/>
        <v>681.84999999999968</v>
      </c>
    </row>
    <row r="11" spans="1:21" x14ac:dyDescent="0.2">
      <c r="A11" s="30">
        <v>5</v>
      </c>
      <c r="B11" s="7" t="s">
        <v>9</v>
      </c>
      <c r="C11" s="40">
        <f>D11/D78</f>
        <v>0.12486591579511933</v>
      </c>
      <c r="D11" s="17">
        <f t="shared" si="0"/>
        <v>3104.1666666666665</v>
      </c>
      <c r="E11" s="70">
        <f>SUM(E12:E13)</f>
        <v>37250</v>
      </c>
      <c r="F11" s="74">
        <f t="shared" ref="F11:S11" si="4">SUM(F12:F13)</f>
        <v>0</v>
      </c>
      <c r="G11" s="75">
        <f t="shared" si="4"/>
        <v>1600</v>
      </c>
      <c r="H11" s="75">
        <f>SUM(H12:H13)</f>
        <v>5650</v>
      </c>
      <c r="I11" s="75">
        <f t="shared" si="4"/>
        <v>3000</v>
      </c>
      <c r="J11" s="75">
        <f t="shared" si="4"/>
        <v>3000</v>
      </c>
      <c r="K11" s="75">
        <f t="shared" si="4"/>
        <v>3000</v>
      </c>
      <c r="L11" s="75">
        <f t="shared" si="4"/>
        <v>3000</v>
      </c>
      <c r="M11" s="75">
        <f t="shared" si="4"/>
        <v>3000</v>
      </c>
      <c r="N11" s="75">
        <f t="shared" si="4"/>
        <v>3000</v>
      </c>
      <c r="O11" s="75">
        <f t="shared" si="4"/>
        <v>3000</v>
      </c>
      <c r="P11" s="75">
        <f t="shared" si="4"/>
        <v>3000</v>
      </c>
      <c r="Q11" s="75">
        <f t="shared" si="4"/>
        <v>3000</v>
      </c>
      <c r="R11" s="75">
        <f t="shared" si="4"/>
        <v>3000</v>
      </c>
      <c r="S11" s="75">
        <f t="shared" si="4"/>
        <v>0</v>
      </c>
      <c r="T11" s="24">
        <f t="shared" si="1"/>
        <v>37250</v>
      </c>
      <c r="U11" s="24">
        <f t="shared" si="2"/>
        <v>0</v>
      </c>
    </row>
    <row r="12" spans="1:21" s="60" customFormat="1" ht="12" outlineLevel="1" x14ac:dyDescent="0.2">
      <c r="A12" s="34" t="s">
        <v>50</v>
      </c>
      <c r="B12" s="73" t="s">
        <v>10</v>
      </c>
      <c r="C12" s="47">
        <f>D12/D78</f>
        <v>0.12067578439259855</v>
      </c>
      <c r="D12" s="50">
        <f t="shared" si="0"/>
        <v>3000</v>
      </c>
      <c r="E12" s="52">
        <v>36000</v>
      </c>
      <c r="F12" s="76"/>
      <c r="G12" s="169">
        <v>1600</v>
      </c>
      <c r="H12" s="77">
        <v>4400</v>
      </c>
      <c r="I12" s="77">
        <v>3000</v>
      </c>
      <c r="J12" s="77">
        <v>3000</v>
      </c>
      <c r="K12" s="77">
        <v>3000</v>
      </c>
      <c r="L12" s="77">
        <v>3000</v>
      </c>
      <c r="M12" s="77">
        <v>3000</v>
      </c>
      <c r="N12" s="77">
        <v>3000</v>
      </c>
      <c r="O12" s="77">
        <v>3000</v>
      </c>
      <c r="P12" s="77">
        <v>3000</v>
      </c>
      <c r="Q12" s="77">
        <v>3000</v>
      </c>
      <c r="R12" s="77">
        <v>3000</v>
      </c>
      <c r="S12" s="170"/>
      <c r="T12" s="59">
        <f t="shared" si="1"/>
        <v>36000</v>
      </c>
      <c r="U12" s="59">
        <f t="shared" si="2"/>
        <v>0</v>
      </c>
    </row>
    <row r="13" spans="1:21" s="60" customFormat="1" ht="12" outlineLevel="1" x14ac:dyDescent="0.2">
      <c r="A13" s="34" t="s">
        <v>51</v>
      </c>
      <c r="B13" s="46" t="s">
        <v>11</v>
      </c>
      <c r="C13" s="47">
        <f>D13/D78</f>
        <v>4.1901314025207829E-3</v>
      </c>
      <c r="D13" s="50">
        <f t="shared" si="0"/>
        <v>104.16666666666667</v>
      </c>
      <c r="E13" s="52">
        <f>E14+E15</f>
        <v>1250</v>
      </c>
      <c r="F13" s="76">
        <f t="shared" ref="F13:S13" si="5">SUM(F14:F15)</f>
        <v>0</v>
      </c>
      <c r="G13" s="77">
        <f t="shared" si="5"/>
        <v>0</v>
      </c>
      <c r="H13" s="77">
        <f t="shared" si="5"/>
        <v>1250</v>
      </c>
      <c r="I13" s="77">
        <f t="shared" si="5"/>
        <v>0</v>
      </c>
      <c r="J13" s="77">
        <f t="shared" si="5"/>
        <v>0</v>
      </c>
      <c r="K13" s="77">
        <f t="shared" si="5"/>
        <v>0</v>
      </c>
      <c r="L13" s="77">
        <f t="shared" si="5"/>
        <v>0</v>
      </c>
      <c r="M13" s="77">
        <f t="shared" si="5"/>
        <v>0</v>
      </c>
      <c r="N13" s="77">
        <f t="shared" si="5"/>
        <v>0</v>
      </c>
      <c r="O13" s="77">
        <f t="shared" si="5"/>
        <v>0</v>
      </c>
      <c r="P13" s="77">
        <f t="shared" si="5"/>
        <v>0</v>
      </c>
      <c r="Q13" s="77">
        <f t="shared" si="5"/>
        <v>0</v>
      </c>
      <c r="R13" s="77">
        <f t="shared" si="5"/>
        <v>0</v>
      </c>
      <c r="S13" s="77">
        <f t="shared" si="5"/>
        <v>0</v>
      </c>
      <c r="T13" s="57">
        <f t="shared" si="1"/>
        <v>1250</v>
      </c>
      <c r="U13" s="59">
        <f t="shared" si="2"/>
        <v>0</v>
      </c>
    </row>
    <row r="14" spans="1:21" s="12" customFormat="1" ht="11.25" outlineLevel="2" x14ac:dyDescent="0.2">
      <c r="A14" s="32" t="s">
        <v>52</v>
      </c>
      <c r="B14" s="3" t="s">
        <v>12</v>
      </c>
      <c r="C14" s="41"/>
      <c r="D14" s="18">
        <f t="shared" si="0"/>
        <v>20.833333333333332</v>
      </c>
      <c r="E14" s="90">
        <v>250</v>
      </c>
      <c r="F14" s="171"/>
      <c r="G14" s="115"/>
      <c r="H14" s="109">
        <v>250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72"/>
      <c r="T14" s="21">
        <f t="shared" si="1"/>
        <v>250</v>
      </c>
      <c r="U14" s="21">
        <f t="shared" si="2"/>
        <v>0</v>
      </c>
    </row>
    <row r="15" spans="1:21" s="12" customFormat="1" ht="12" outlineLevel="2" thickBot="1" x14ac:dyDescent="0.25">
      <c r="A15" s="33" t="s">
        <v>53</v>
      </c>
      <c r="B15" s="4" t="s">
        <v>94</v>
      </c>
      <c r="C15" s="42"/>
      <c r="D15" s="19">
        <f t="shared" si="0"/>
        <v>83.333333333333329</v>
      </c>
      <c r="E15" s="91">
        <v>1000</v>
      </c>
      <c r="F15" s="173"/>
      <c r="G15" s="116"/>
      <c r="H15" s="110">
        <v>1000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74"/>
      <c r="T15" s="135">
        <f t="shared" si="1"/>
        <v>1000</v>
      </c>
      <c r="U15" s="25">
        <f t="shared" si="2"/>
        <v>0</v>
      </c>
    </row>
    <row r="16" spans="1:21" ht="13.5" thickBot="1" x14ac:dyDescent="0.25">
      <c r="A16" s="31">
        <v>6</v>
      </c>
      <c r="B16" s="6" t="s">
        <v>13</v>
      </c>
      <c r="C16" s="39">
        <f>D16/D78</f>
        <v>1.6760525610083132E-2</v>
      </c>
      <c r="D16" s="16">
        <f t="shared" si="0"/>
        <v>416.66666666666669</v>
      </c>
      <c r="E16" s="69">
        <v>5000</v>
      </c>
      <c r="F16" s="120"/>
      <c r="G16" s="114"/>
      <c r="H16" s="105"/>
      <c r="I16" s="105"/>
      <c r="J16" s="105"/>
      <c r="K16" s="105"/>
      <c r="L16" s="105"/>
      <c r="M16" s="105">
        <v>2184</v>
      </c>
      <c r="N16" s="105"/>
      <c r="O16" s="105"/>
      <c r="P16" s="105"/>
      <c r="Q16" s="105"/>
      <c r="R16" s="105"/>
      <c r="S16" s="187"/>
      <c r="T16" s="23">
        <f>SUM(G16:S16)</f>
        <v>2184</v>
      </c>
      <c r="U16" s="23">
        <f t="shared" si="2"/>
        <v>2816</v>
      </c>
    </row>
    <row r="17" spans="1:21" x14ac:dyDescent="0.2">
      <c r="A17" s="30">
        <v>7</v>
      </c>
      <c r="B17" s="7" t="s">
        <v>92</v>
      </c>
      <c r="C17" s="40">
        <f>D17/D78</f>
        <v>0.11508447304907482</v>
      </c>
      <c r="D17" s="17">
        <f t="shared" si="0"/>
        <v>2861</v>
      </c>
      <c r="E17" s="70">
        <f>SUM(E18:E20)</f>
        <v>34332</v>
      </c>
      <c r="F17" s="78">
        <f t="shared" ref="F17:S17" si="6">SUM(F18:F20)</f>
        <v>0</v>
      </c>
      <c r="G17" s="79">
        <f t="shared" si="6"/>
        <v>2906.5</v>
      </c>
      <c r="H17" s="79">
        <f t="shared" si="6"/>
        <v>1366</v>
      </c>
      <c r="I17" s="79">
        <f t="shared" si="6"/>
        <v>1063.5</v>
      </c>
      <c r="J17" s="79">
        <f t="shared" si="6"/>
        <v>630</v>
      </c>
      <c r="K17" s="79">
        <f t="shared" si="6"/>
        <v>3940</v>
      </c>
      <c r="L17" s="79">
        <f t="shared" si="6"/>
        <v>5682</v>
      </c>
      <c r="M17" s="79">
        <f t="shared" si="6"/>
        <v>6696.2800000000007</v>
      </c>
      <c r="N17" s="79">
        <f t="shared" si="6"/>
        <v>0</v>
      </c>
      <c r="O17" s="79">
        <f t="shared" si="6"/>
        <v>984</v>
      </c>
      <c r="P17" s="79">
        <f t="shared" si="6"/>
        <v>590</v>
      </c>
      <c r="Q17" s="79">
        <f t="shared" si="6"/>
        <v>2375</v>
      </c>
      <c r="R17" s="79">
        <f t="shared" si="6"/>
        <v>3030.96</v>
      </c>
      <c r="S17" s="136">
        <f t="shared" si="6"/>
        <v>5612</v>
      </c>
      <c r="T17" s="24">
        <f t="shared" si="1"/>
        <v>34876.239999999998</v>
      </c>
      <c r="U17" s="24">
        <f t="shared" si="2"/>
        <v>-544.23999999999796</v>
      </c>
    </row>
    <row r="18" spans="1:21" s="60" customFormat="1" ht="12" outlineLevel="1" x14ac:dyDescent="0.2">
      <c r="A18" s="34" t="s">
        <v>54</v>
      </c>
      <c r="B18" s="46" t="s">
        <v>135</v>
      </c>
      <c r="C18" s="47">
        <f>D18/D78</f>
        <v>4.6034459640654335E-2</v>
      </c>
      <c r="D18" s="50">
        <f t="shared" si="0"/>
        <v>1144.4166666666667</v>
      </c>
      <c r="E18" s="52">
        <v>13733</v>
      </c>
      <c r="F18" s="82"/>
      <c r="G18" s="102">
        <f>1500+5+22.5+179</f>
        <v>1706.5</v>
      </c>
      <c r="H18" s="83">
        <f>577-260</f>
        <v>317</v>
      </c>
      <c r="I18" s="83">
        <f>214.5+199</f>
        <v>413.5</v>
      </c>
      <c r="J18" s="83"/>
      <c r="K18" s="83">
        <f>45+735+10+1500</f>
        <v>2290</v>
      </c>
      <c r="L18" s="83">
        <f>28+200</f>
        <v>228</v>
      </c>
      <c r="M18" s="83">
        <f>2638.28+190+350</f>
        <v>3178.28</v>
      </c>
      <c r="N18" s="83"/>
      <c r="O18" s="83">
        <f>984</f>
        <v>984</v>
      </c>
      <c r="P18" s="83">
        <v>590</v>
      </c>
      <c r="Q18" s="83">
        <f>320+675</f>
        <v>995</v>
      </c>
      <c r="R18" s="83">
        <v>3030.96</v>
      </c>
      <c r="S18" s="138">
        <v>158</v>
      </c>
      <c r="T18" s="59">
        <f t="shared" si="1"/>
        <v>13891.240000000002</v>
      </c>
      <c r="U18" s="59">
        <f t="shared" si="2"/>
        <v>-158.2400000000016</v>
      </c>
    </row>
    <row r="19" spans="1:21" s="60" customFormat="1" ht="12" outlineLevel="1" x14ac:dyDescent="0.2">
      <c r="A19" s="34" t="s">
        <v>55</v>
      </c>
      <c r="B19" s="46" t="s">
        <v>96</v>
      </c>
      <c r="C19" s="47">
        <f>D19/D78</f>
        <v>1.6123625636899973E-2</v>
      </c>
      <c r="D19" s="50">
        <f t="shared" si="0"/>
        <v>400.83333333333331</v>
      </c>
      <c r="E19" s="52">
        <v>4810</v>
      </c>
      <c r="F19" s="82"/>
      <c r="G19" s="102">
        <f>200+300</f>
        <v>500</v>
      </c>
      <c r="H19" s="83"/>
      <c r="I19" s="83">
        <f>650</f>
        <v>650</v>
      </c>
      <c r="J19" s="83">
        <v>630</v>
      </c>
      <c r="K19" s="83">
        <v>1650</v>
      </c>
      <c r="L19" s="83"/>
      <c r="M19" s="175"/>
      <c r="N19" s="83"/>
      <c r="O19" s="83"/>
      <c r="P19" s="83"/>
      <c r="Q19" s="83">
        <f>780+600</f>
        <v>1380</v>
      </c>
      <c r="R19" s="83"/>
      <c r="S19" s="138"/>
      <c r="T19" s="59">
        <f t="shared" si="1"/>
        <v>4810</v>
      </c>
      <c r="U19" s="59">
        <f t="shared" si="2"/>
        <v>0</v>
      </c>
    </row>
    <row r="20" spans="1:21" s="60" customFormat="1" ht="12" outlineLevel="1" x14ac:dyDescent="0.2">
      <c r="A20" s="34" t="s">
        <v>56</v>
      </c>
      <c r="B20" s="46" t="s">
        <v>91</v>
      </c>
      <c r="C20" s="47">
        <f>D20/D78</f>
        <v>5.2926387771520512E-2</v>
      </c>
      <c r="D20" s="50">
        <f t="shared" si="0"/>
        <v>1315.75</v>
      </c>
      <c r="E20" s="52">
        <f t="shared" ref="E20:S20" si="7">SUM(E21:E23)</f>
        <v>15789</v>
      </c>
      <c r="F20" s="82">
        <f t="shared" si="7"/>
        <v>0</v>
      </c>
      <c r="G20" s="83">
        <f t="shared" si="7"/>
        <v>700</v>
      </c>
      <c r="H20" s="83">
        <f t="shared" si="7"/>
        <v>1049</v>
      </c>
      <c r="I20" s="83">
        <f t="shared" si="7"/>
        <v>0</v>
      </c>
      <c r="J20" s="83">
        <f t="shared" si="7"/>
        <v>0</v>
      </c>
      <c r="K20" s="83">
        <f t="shared" si="7"/>
        <v>0</v>
      </c>
      <c r="L20" s="83">
        <f t="shared" si="7"/>
        <v>5454</v>
      </c>
      <c r="M20" s="83">
        <f t="shared" si="7"/>
        <v>3518</v>
      </c>
      <c r="N20" s="83">
        <f t="shared" si="7"/>
        <v>0</v>
      </c>
      <c r="O20" s="83">
        <f t="shared" si="7"/>
        <v>0</v>
      </c>
      <c r="P20" s="83">
        <f t="shared" si="7"/>
        <v>0</v>
      </c>
      <c r="Q20" s="83">
        <f t="shared" si="7"/>
        <v>0</v>
      </c>
      <c r="R20" s="83">
        <f t="shared" si="7"/>
        <v>0</v>
      </c>
      <c r="S20" s="83">
        <f t="shared" si="7"/>
        <v>5454</v>
      </c>
      <c r="T20" s="59">
        <f>SUM(F20:S20)</f>
        <v>16175</v>
      </c>
      <c r="U20" s="59">
        <f t="shared" si="2"/>
        <v>-386</v>
      </c>
    </row>
    <row r="21" spans="1:21" s="12" customFormat="1" ht="11.25" outlineLevel="2" x14ac:dyDescent="0.2">
      <c r="A21" s="32" t="s">
        <v>88</v>
      </c>
      <c r="B21" s="3" t="s">
        <v>93</v>
      </c>
      <c r="C21" s="41"/>
      <c r="D21" s="18">
        <f t="shared" si="0"/>
        <v>65.75</v>
      </c>
      <c r="E21" s="90">
        <v>789</v>
      </c>
      <c r="F21" s="119"/>
      <c r="G21" s="117"/>
      <c r="H21" s="111">
        <v>789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76"/>
      <c r="T21" s="21">
        <f>SUM(F21:S21)</f>
        <v>789</v>
      </c>
      <c r="U21" s="21">
        <f t="shared" si="2"/>
        <v>0</v>
      </c>
    </row>
    <row r="22" spans="1:21" s="12" customFormat="1" ht="11.25" outlineLevel="2" x14ac:dyDescent="0.2">
      <c r="A22" s="32" t="s">
        <v>89</v>
      </c>
      <c r="B22" s="84" t="s">
        <v>158</v>
      </c>
      <c r="C22" s="85"/>
      <c r="D22" s="86">
        <f t="shared" si="0"/>
        <v>833.33333333333337</v>
      </c>
      <c r="E22" s="92">
        <v>10000</v>
      </c>
      <c r="F22" s="119"/>
      <c r="G22" s="117">
        <v>700</v>
      </c>
      <c r="H22" s="111"/>
      <c r="I22" s="111"/>
      <c r="J22" s="111"/>
      <c r="K22" s="111"/>
      <c r="L22" s="111">
        <v>5454</v>
      </c>
      <c r="M22" s="111"/>
      <c r="N22" s="111"/>
      <c r="O22" s="111"/>
      <c r="P22" s="111"/>
      <c r="Q22" s="111"/>
      <c r="R22" s="111"/>
      <c r="S22" s="176">
        <v>5454</v>
      </c>
      <c r="T22" s="21">
        <f>SUM(F22:S22)</f>
        <v>11608</v>
      </c>
      <c r="U22" s="21">
        <f t="shared" si="2"/>
        <v>-1608</v>
      </c>
    </row>
    <row r="23" spans="1:21" s="12" customFormat="1" outlineLevel="2" thickBot="1" x14ac:dyDescent="0.25">
      <c r="A23" s="32" t="s">
        <v>95</v>
      </c>
      <c r="B23" s="84" t="s">
        <v>146</v>
      </c>
      <c r="C23" s="85"/>
      <c r="D23" s="86">
        <f t="shared" si="0"/>
        <v>416.66666666666669</v>
      </c>
      <c r="E23" s="92">
        <v>5000</v>
      </c>
      <c r="F23" s="119"/>
      <c r="G23" s="117"/>
      <c r="H23" s="111">
        <v>260</v>
      </c>
      <c r="I23" s="111"/>
      <c r="J23" s="111"/>
      <c r="K23" s="111"/>
      <c r="L23" s="111"/>
      <c r="M23" s="83">
        <v>3518</v>
      </c>
      <c r="N23" s="111"/>
      <c r="O23" s="111"/>
      <c r="P23" s="111"/>
      <c r="Q23" s="111"/>
      <c r="R23" s="111"/>
      <c r="S23" s="176"/>
      <c r="T23" s="21">
        <f>SUM(F23:S23)</f>
        <v>3778</v>
      </c>
      <c r="U23" s="21">
        <f t="shared" si="2"/>
        <v>1222</v>
      </c>
    </row>
    <row r="24" spans="1:21" x14ac:dyDescent="0.2">
      <c r="A24" s="30">
        <v>8</v>
      </c>
      <c r="B24" s="7" t="s">
        <v>14</v>
      </c>
      <c r="C24" s="40">
        <f>D24/D78</f>
        <v>8.3802628050415662E-2</v>
      </c>
      <c r="D24" s="17">
        <f t="shared" si="0"/>
        <v>2083.3333333333335</v>
      </c>
      <c r="E24" s="70">
        <f>SUM(E25:E29)</f>
        <v>25000</v>
      </c>
      <c r="F24" s="78">
        <f t="shared" ref="F24:S24" si="8">SUM(F25:F29)</f>
        <v>0</v>
      </c>
      <c r="G24" s="79">
        <f t="shared" si="8"/>
        <v>0</v>
      </c>
      <c r="H24" s="79">
        <f t="shared" si="8"/>
        <v>2351.69</v>
      </c>
      <c r="I24" s="79">
        <f>SUM(I25:I29)</f>
        <v>4627</v>
      </c>
      <c r="J24" s="79">
        <f t="shared" si="8"/>
        <v>2196</v>
      </c>
      <c r="K24" s="79">
        <f t="shared" si="8"/>
        <v>0</v>
      </c>
      <c r="L24" s="79">
        <f t="shared" si="8"/>
        <v>1339.71</v>
      </c>
      <c r="M24" s="79">
        <f t="shared" si="8"/>
        <v>0</v>
      </c>
      <c r="N24" s="79">
        <f>SUM(N25:N29)</f>
        <v>440.2</v>
      </c>
      <c r="O24" s="79">
        <f t="shared" si="8"/>
        <v>4009.28</v>
      </c>
      <c r="P24" s="79">
        <f t="shared" si="8"/>
        <v>0</v>
      </c>
      <c r="Q24" s="79">
        <f t="shared" si="8"/>
        <v>101.7</v>
      </c>
      <c r="R24" s="79">
        <f t="shared" si="8"/>
        <v>1220</v>
      </c>
      <c r="S24" s="136">
        <f t="shared" si="8"/>
        <v>528.29999999999995</v>
      </c>
      <c r="T24" s="24">
        <f>SUM(G24:S24)</f>
        <v>16813.880000000005</v>
      </c>
      <c r="U24" s="24">
        <f t="shared" si="2"/>
        <v>8186.1199999999953</v>
      </c>
    </row>
    <row r="25" spans="1:21" s="60" customFormat="1" ht="12" outlineLevel="1" x14ac:dyDescent="0.2">
      <c r="A25" s="34" t="s">
        <v>57</v>
      </c>
      <c r="B25" s="46" t="s">
        <v>15</v>
      </c>
      <c r="C25" s="47">
        <f>D25/D78</f>
        <v>2.3464735854116386E-2</v>
      </c>
      <c r="D25" s="50">
        <f t="shared" si="0"/>
        <v>583.33333333333337</v>
      </c>
      <c r="E25" s="52">
        <v>7000</v>
      </c>
      <c r="F25" s="82"/>
      <c r="G25" s="102"/>
      <c r="H25" s="83">
        <v>300</v>
      </c>
      <c r="I25" s="112"/>
      <c r="J25" s="83"/>
      <c r="K25" s="83"/>
      <c r="L25" s="83">
        <v>1339.71</v>
      </c>
      <c r="M25" s="83"/>
      <c r="N25" s="83">
        <v>440.2</v>
      </c>
      <c r="O25" s="83"/>
      <c r="P25" s="83"/>
      <c r="Q25" s="83"/>
      <c r="R25" s="83">
        <f>124+660</f>
        <v>784</v>
      </c>
      <c r="S25" s="138">
        <v>486</v>
      </c>
      <c r="T25" s="59">
        <f>SUM(G25:S25)</f>
        <v>3349.91</v>
      </c>
      <c r="U25" s="59">
        <f t="shared" si="2"/>
        <v>3650.09</v>
      </c>
    </row>
    <row r="26" spans="1:21" s="60" customFormat="1" ht="12" outlineLevel="1" x14ac:dyDescent="0.2">
      <c r="A26" s="34" t="s">
        <v>58</v>
      </c>
      <c r="B26" s="46" t="s">
        <v>16</v>
      </c>
      <c r="C26" s="47">
        <f>D26/D78</f>
        <v>2.0112630732099759E-2</v>
      </c>
      <c r="D26" s="50">
        <f t="shared" si="0"/>
        <v>500</v>
      </c>
      <c r="E26" s="52">
        <v>6000</v>
      </c>
      <c r="F26" s="82"/>
      <c r="G26" s="102"/>
      <c r="H26" s="83">
        <v>2051.69</v>
      </c>
      <c r="I26" s="83">
        <v>22</v>
      </c>
      <c r="J26" s="83">
        <v>1246</v>
      </c>
      <c r="K26" s="83"/>
      <c r="L26" s="83"/>
      <c r="M26" s="83"/>
      <c r="N26" s="175"/>
      <c r="O26" s="83">
        <v>4009.28</v>
      </c>
      <c r="P26" s="83"/>
      <c r="Q26" s="83">
        <v>101.7</v>
      </c>
      <c r="R26" s="83">
        <f>280+156</f>
        <v>436</v>
      </c>
      <c r="S26" s="138">
        <v>42.3</v>
      </c>
      <c r="T26" s="59">
        <f>SUM(G26:S26)</f>
        <v>7908.97</v>
      </c>
      <c r="U26" s="59">
        <f t="shared" si="2"/>
        <v>-1908.9700000000003</v>
      </c>
    </row>
    <row r="27" spans="1:21" s="60" customFormat="1" ht="12" outlineLevel="1" x14ac:dyDescent="0.2">
      <c r="A27" s="34" t="s">
        <v>59</v>
      </c>
      <c r="B27" s="46" t="s">
        <v>17</v>
      </c>
      <c r="C27" s="47">
        <f>D27/D78</f>
        <v>2.0112630732099759E-2</v>
      </c>
      <c r="D27" s="50">
        <f t="shared" si="0"/>
        <v>500</v>
      </c>
      <c r="E27" s="52">
        <v>6000</v>
      </c>
      <c r="F27" s="82"/>
      <c r="G27" s="102"/>
      <c r="H27" s="83"/>
      <c r="I27" s="83"/>
      <c r="J27" s="83">
        <v>950</v>
      </c>
      <c r="K27" s="83"/>
      <c r="L27" s="83"/>
      <c r="M27" s="83"/>
      <c r="N27" s="83"/>
      <c r="O27" s="83"/>
      <c r="P27" s="83"/>
      <c r="Q27" s="83"/>
      <c r="R27" s="83"/>
      <c r="S27" s="138"/>
      <c r="T27" s="59">
        <f t="shared" ref="T27:T75" si="9">SUM(G27:S27)</f>
        <v>950</v>
      </c>
      <c r="U27" s="59">
        <f t="shared" si="2"/>
        <v>5050</v>
      </c>
    </row>
    <row r="28" spans="1:21" s="60" customFormat="1" ht="12" outlineLevel="1" x14ac:dyDescent="0.2">
      <c r="A28" s="34" t="s">
        <v>60</v>
      </c>
      <c r="B28" s="46" t="s">
        <v>18</v>
      </c>
      <c r="C28" s="47">
        <f>D28/D78</f>
        <v>3.3521051220166262E-3</v>
      </c>
      <c r="D28" s="50">
        <f t="shared" si="0"/>
        <v>83.333333333333329</v>
      </c>
      <c r="E28" s="52">
        <v>1000</v>
      </c>
      <c r="F28" s="82"/>
      <c r="G28" s="102"/>
      <c r="H28" s="83"/>
      <c r="I28" s="83"/>
      <c r="J28" s="83"/>
      <c r="K28" s="83"/>
      <c r="L28" s="83">
        <v>0</v>
      </c>
      <c r="M28" s="83"/>
      <c r="N28" s="83"/>
      <c r="O28" s="83"/>
      <c r="P28" s="83"/>
      <c r="Q28" s="83"/>
      <c r="R28" s="83"/>
      <c r="S28" s="138"/>
      <c r="T28" s="59">
        <f t="shared" si="9"/>
        <v>0</v>
      </c>
      <c r="U28" s="59">
        <f t="shared" si="2"/>
        <v>1000</v>
      </c>
    </row>
    <row r="29" spans="1:21" s="60" customFormat="1" outlineLevel="1" thickBot="1" x14ac:dyDescent="0.25">
      <c r="A29" s="35" t="s">
        <v>61</v>
      </c>
      <c r="B29" s="55" t="s">
        <v>112</v>
      </c>
      <c r="C29" s="56">
        <f>D29/D78</f>
        <v>1.6760525610083132E-2</v>
      </c>
      <c r="D29" s="51">
        <f t="shared" si="0"/>
        <v>416.66666666666669</v>
      </c>
      <c r="E29" s="71">
        <v>5000</v>
      </c>
      <c r="F29" s="177"/>
      <c r="G29" s="118"/>
      <c r="H29" s="175"/>
      <c r="I29" s="113">
        <v>4605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78"/>
      <c r="T29" s="72">
        <f t="shared" si="9"/>
        <v>4605</v>
      </c>
      <c r="U29" s="72">
        <f t="shared" si="2"/>
        <v>395</v>
      </c>
    </row>
    <row r="30" spans="1:21" ht="27" customHeight="1" x14ac:dyDescent="0.2">
      <c r="A30" s="30">
        <v>9</v>
      </c>
      <c r="B30" s="8" t="s">
        <v>19</v>
      </c>
      <c r="C30" s="44">
        <f>D30/D78</f>
        <v>0.94204458299812277</v>
      </c>
      <c r="D30" s="45">
        <f t="shared" si="0"/>
        <v>23419.228333333333</v>
      </c>
      <c r="E30" s="93">
        <f t="shared" ref="E30:S30" si="10">SUM(E31:E43)</f>
        <v>281030.74</v>
      </c>
      <c r="F30" s="80">
        <f t="shared" si="10"/>
        <v>68460</v>
      </c>
      <c r="G30" s="81">
        <f t="shared" si="10"/>
        <v>0</v>
      </c>
      <c r="H30" s="81">
        <f t="shared" si="10"/>
        <v>17147</v>
      </c>
      <c r="I30" s="81">
        <f t="shared" si="10"/>
        <v>50895</v>
      </c>
      <c r="J30" s="81">
        <f t="shared" si="10"/>
        <v>9672</v>
      </c>
      <c r="K30" s="81">
        <f t="shared" si="10"/>
        <v>6148</v>
      </c>
      <c r="L30" s="81">
        <f t="shared" si="10"/>
        <v>18139.599999999999</v>
      </c>
      <c r="M30" s="81">
        <f t="shared" si="10"/>
        <v>3879</v>
      </c>
      <c r="N30" s="81">
        <f t="shared" si="10"/>
        <v>78772</v>
      </c>
      <c r="O30" s="81">
        <f t="shared" si="10"/>
        <v>25100</v>
      </c>
      <c r="P30" s="81">
        <f t="shared" si="10"/>
        <v>18000</v>
      </c>
      <c r="Q30" s="81">
        <f t="shared" si="10"/>
        <v>13000</v>
      </c>
      <c r="R30" s="81">
        <f t="shared" si="10"/>
        <v>9286.7099999999991</v>
      </c>
      <c r="S30" s="137">
        <f t="shared" si="10"/>
        <v>21862.400000000001</v>
      </c>
      <c r="T30" s="143">
        <f t="shared" si="9"/>
        <v>271901.71000000002</v>
      </c>
      <c r="U30" s="144">
        <f t="shared" si="2"/>
        <v>9129.0299999999697</v>
      </c>
    </row>
    <row r="31" spans="1:21" s="60" customFormat="1" ht="12" outlineLevel="1" x14ac:dyDescent="0.2">
      <c r="A31" s="34" t="s">
        <v>62</v>
      </c>
      <c r="B31" s="46" t="s">
        <v>164</v>
      </c>
      <c r="C31" s="47">
        <f>D31/D78</f>
        <v>0.15913113435237328</v>
      </c>
      <c r="D31" s="50">
        <f t="shared" si="0"/>
        <v>3956</v>
      </c>
      <c r="E31" s="52">
        <v>47472</v>
      </c>
      <c r="F31" s="179">
        <v>1200</v>
      </c>
      <c r="G31" s="83"/>
      <c r="H31" s="83">
        <v>1200</v>
      </c>
      <c r="I31" s="83">
        <v>1200</v>
      </c>
      <c r="J31" s="83">
        <v>1200</v>
      </c>
      <c r="K31" s="83">
        <v>1200</v>
      </c>
      <c r="L31" s="83">
        <v>1200</v>
      </c>
      <c r="M31" s="83">
        <v>1200</v>
      </c>
      <c r="N31" s="83">
        <f>1200+33072</f>
        <v>34272</v>
      </c>
      <c r="O31" s="83">
        <v>1200</v>
      </c>
      <c r="P31" s="83">
        <v>1200</v>
      </c>
      <c r="Q31" s="83">
        <v>1200</v>
      </c>
      <c r="R31" s="83">
        <v>1200</v>
      </c>
      <c r="S31" s="138">
        <v>1200</v>
      </c>
      <c r="T31" s="59">
        <f t="shared" si="9"/>
        <v>47472</v>
      </c>
      <c r="U31" s="59">
        <f t="shared" si="2"/>
        <v>0</v>
      </c>
    </row>
    <row r="32" spans="1:21" s="60" customFormat="1" ht="12" outlineLevel="1" x14ac:dyDescent="0.2">
      <c r="A32" s="34" t="s">
        <v>63</v>
      </c>
      <c r="B32" s="87" t="s">
        <v>72</v>
      </c>
      <c r="C32" s="47">
        <f>D32/D78</f>
        <v>0.22619670152855995</v>
      </c>
      <c r="D32" s="50">
        <f t="shared" si="0"/>
        <v>5623.25</v>
      </c>
      <c r="E32" s="52">
        <v>67479</v>
      </c>
      <c r="F32" s="82"/>
      <c r="G32" s="102"/>
      <c r="H32" s="83">
        <v>10900</v>
      </c>
      <c r="I32" s="83">
        <f>1628+13200</f>
        <v>14828</v>
      </c>
      <c r="J32" s="83">
        <v>1972</v>
      </c>
      <c r="K32" s="83"/>
      <c r="L32" s="83">
        <f>4000+1200</f>
        <v>5200</v>
      </c>
      <c r="M32" s="83">
        <v>179</v>
      </c>
      <c r="N32" s="83">
        <v>4000</v>
      </c>
      <c r="O32" s="83">
        <v>11200</v>
      </c>
      <c r="P32" s="83">
        <v>6400</v>
      </c>
      <c r="Q32" s="83">
        <f>4000+4000</f>
        <v>8000</v>
      </c>
      <c r="R32" s="83"/>
      <c r="S32" s="138">
        <v>4800</v>
      </c>
      <c r="T32" s="59">
        <f t="shared" si="9"/>
        <v>67479</v>
      </c>
      <c r="U32" s="59">
        <f t="shared" si="2"/>
        <v>0</v>
      </c>
    </row>
    <row r="33" spans="1:21" s="60" customFormat="1" ht="12" outlineLevel="1" x14ac:dyDescent="0.2">
      <c r="A33" s="34" t="s">
        <v>64</v>
      </c>
      <c r="B33" s="88" t="s">
        <v>20</v>
      </c>
      <c r="C33" s="47">
        <f>D33/D78</f>
        <v>0.1005631536604988</v>
      </c>
      <c r="D33" s="50">
        <f t="shared" si="0"/>
        <v>2500</v>
      </c>
      <c r="E33" s="52">
        <v>30000</v>
      </c>
      <c r="F33" s="82">
        <v>2500</v>
      </c>
      <c r="G33" s="102"/>
      <c r="H33" s="83">
        <v>2500</v>
      </c>
      <c r="I33" s="83">
        <v>2500</v>
      </c>
      <c r="J33" s="83">
        <v>2500</v>
      </c>
      <c r="K33" s="83">
        <v>2500</v>
      </c>
      <c r="L33" s="83">
        <v>2500</v>
      </c>
      <c r="M33" s="83">
        <v>2500</v>
      </c>
      <c r="N33" s="83">
        <v>2500</v>
      </c>
      <c r="O33" s="83">
        <v>2500</v>
      </c>
      <c r="P33" s="83">
        <v>0</v>
      </c>
      <c r="Q33" s="83">
        <v>2500</v>
      </c>
      <c r="R33" s="83">
        <v>2500</v>
      </c>
      <c r="S33" s="138">
        <f>2500+2500</f>
        <v>5000</v>
      </c>
      <c r="T33" s="59">
        <f t="shared" si="9"/>
        <v>30000</v>
      </c>
      <c r="U33" s="59">
        <f t="shared" si="2"/>
        <v>0</v>
      </c>
    </row>
    <row r="34" spans="1:21" s="60" customFormat="1" ht="12" outlineLevel="1" x14ac:dyDescent="0.2">
      <c r="A34" s="34" t="s">
        <v>65</v>
      </c>
      <c r="B34" s="46" t="s">
        <v>21</v>
      </c>
      <c r="C34" s="47">
        <f>D34/D78</f>
        <v>1.0488736926790023E-2</v>
      </c>
      <c r="D34" s="50">
        <f t="shared" si="0"/>
        <v>260.75</v>
      </c>
      <c r="E34" s="52">
        <v>3129</v>
      </c>
      <c r="F34" s="82"/>
      <c r="G34" s="102"/>
      <c r="H34" s="83"/>
      <c r="I34" s="83"/>
      <c r="J34" s="83"/>
      <c r="K34" s="83"/>
      <c r="M34" s="83"/>
      <c r="N34" s="83"/>
      <c r="O34" s="83"/>
      <c r="P34" s="83"/>
      <c r="Q34" s="83"/>
      <c r="R34" s="83"/>
      <c r="S34" s="138"/>
      <c r="T34" s="59">
        <f t="shared" si="9"/>
        <v>0</v>
      </c>
      <c r="U34" s="59">
        <f t="shared" si="2"/>
        <v>3129</v>
      </c>
    </row>
    <row r="35" spans="1:21" s="60" customFormat="1" ht="12" outlineLevel="1" x14ac:dyDescent="0.2">
      <c r="A35" s="34" t="s">
        <v>66</v>
      </c>
      <c r="B35" s="46" t="s">
        <v>22</v>
      </c>
      <c r="C35" s="47">
        <f>D35/D78</f>
        <v>2.0112630732099759E-2</v>
      </c>
      <c r="D35" s="50">
        <f t="shared" si="0"/>
        <v>500</v>
      </c>
      <c r="E35" s="52">
        <v>6000</v>
      </c>
      <c r="F35" s="82">
        <v>5000</v>
      </c>
      <c r="G35" s="10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138"/>
      <c r="T35" s="59">
        <f t="shared" si="9"/>
        <v>0</v>
      </c>
      <c r="U35" s="59">
        <f t="shared" si="2"/>
        <v>6000</v>
      </c>
    </row>
    <row r="36" spans="1:21" s="60" customFormat="1" ht="12" outlineLevel="1" x14ac:dyDescent="0.2">
      <c r="A36" s="34" t="s">
        <v>67</v>
      </c>
      <c r="B36" s="46" t="s">
        <v>167</v>
      </c>
      <c r="C36" s="47">
        <f>D36/D81</f>
        <v>28.203741504552667</v>
      </c>
      <c r="D36" s="50">
        <f t="shared" si="0"/>
        <v>310.25</v>
      </c>
      <c r="E36" s="52">
        <v>3723</v>
      </c>
      <c r="F36" s="82"/>
      <c r="G36" s="102"/>
      <c r="H36" s="83"/>
      <c r="I36" s="83"/>
      <c r="J36" s="83"/>
      <c r="K36" s="83"/>
      <c r="L36" s="83">
        <v>1235.8599999999999</v>
      </c>
      <c r="M36" s="83"/>
      <c r="N36" s="83"/>
      <c r="O36" s="83"/>
      <c r="P36" s="83"/>
      <c r="Q36" s="83"/>
      <c r="R36" s="83">
        <v>2486.71</v>
      </c>
      <c r="S36" s="138"/>
      <c r="T36" s="59">
        <f t="shared" si="9"/>
        <v>3722.5699999999997</v>
      </c>
      <c r="U36" s="59">
        <f t="shared" si="2"/>
        <v>0.43000000000029104</v>
      </c>
    </row>
    <row r="37" spans="1:21" s="60" customFormat="1" ht="12" outlineLevel="1" x14ac:dyDescent="0.2">
      <c r="A37" s="34" t="s">
        <v>68</v>
      </c>
      <c r="B37" s="46" t="s">
        <v>168</v>
      </c>
      <c r="C37" s="47">
        <f>D37/D81</f>
        <v>21.997403265224218</v>
      </c>
      <c r="D37" s="50">
        <f t="shared" si="0"/>
        <v>241.97833333333332</v>
      </c>
      <c r="E37" s="52">
        <v>2903.74</v>
      </c>
      <c r="F37" s="82"/>
      <c r="G37" s="102"/>
      <c r="H37" s="83"/>
      <c r="I37" s="83"/>
      <c r="J37" s="83"/>
      <c r="K37" s="83"/>
      <c r="L37" s="83">
        <v>2903.74</v>
      </c>
      <c r="M37" s="83"/>
      <c r="N37" s="83"/>
      <c r="O37" s="83"/>
      <c r="P37" s="83"/>
      <c r="Q37" s="83"/>
      <c r="R37" s="83"/>
      <c r="S37" s="138"/>
      <c r="T37" s="59">
        <f t="shared" si="9"/>
        <v>2903.74</v>
      </c>
      <c r="U37" s="59">
        <f t="shared" si="2"/>
        <v>0</v>
      </c>
    </row>
    <row r="38" spans="1:21" s="60" customFormat="1" ht="12" outlineLevel="1" x14ac:dyDescent="0.2">
      <c r="A38" s="34" t="s">
        <v>69</v>
      </c>
      <c r="B38" s="46" t="s">
        <v>23</v>
      </c>
      <c r="C38" s="47">
        <f>D38/D78</f>
        <v>0</v>
      </c>
      <c r="D38" s="50">
        <f t="shared" si="0"/>
        <v>0</v>
      </c>
      <c r="E38" s="52">
        <v>0</v>
      </c>
      <c r="F38" s="82"/>
      <c r="G38" s="10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138"/>
      <c r="T38" s="59">
        <f t="shared" si="9"/>
        <v>0</v>
      </c>
      <c r="U38" s="59">
        <f t="shared" si="2"/>
        <v>0</v>
      </c>
    </row>
    <row r="39" spans="1:21" s="60" customFormat="1" ht="12" outlineLevel="1" x14ac:dyDescent="0.2">
      <c r="A39" s="34" t="s">
        <v>70</v>
      </c>
      <c r="B39" s="46" t="s">
        <v>24</v>
      </c>
      <c r="C39" s="47">
        <f>D39/D78</f>
        <v>0</v>
      </c>
      <c r="D39" s="50">
        <f t="shared" si="0"/>
        <v>0</v>
      </c>
      <c r="E39" s="52">
        <v>0</v>
      </c>
      <c r="F39" s="82"/>
      <c r="G39" s="102"/>
      <c r="H39" s="83" t="s">
        <v>159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138"/>
      <c r="T39" s="59">
        <f t="shared" si="9"/>
        <v>0</v>
      </c>
      <c r="U39" s="59">
        <f t="shared" si="2"/>
        <v>0</v>
      </c>
    </row>
    <row r="40" spans="1:21" s="60" customFormat="1" ht="12" outlineLevel="1" x14ac:dyDescent="0.2">
      <c r="A40" s="34" t="s">
        <v>71</v>
      </c>
      <c r="B40" s="46" t="s">
        <v>107</v>
      </c>
      <c r="C40" s="47">
        <f>D40/D78</f>
        <v>8.4808259587020651E-2</v>
      </c>
      <c r="D40" s="50">
        <f t="shared" si="0"/>
        <v>2108.3333333333335</v>
      </c>
      <c r="E40" s="52">
        <v>25300</v>
      </c>
      <c r="F40" s="82"/>
      <c r="G40" s="102"/>
      <c r="H40" s="83"/>
      <c r="I40" s="83">
        <v>2000</v>
      </c>
      <c r="J40" s="83"/>
      <c r="K40" s="83"/>
      <c r="L40" s="83"/>
      <c r="M40" s="83"/>
      <c r="N40" s="83">
        <v>18000</v>
      </c>
      <c r="O40" s="83"/>
      <c r="P40" s="83"/>
      <c r="Q40" s="83"/>
      <c r="R40" s="83"/>
      <c r="S40" s="138">
        <v>5300</v>
      </c>
      <c r="T40" s="59">
        <f t="shared" si="9"/>
        <v>25300</v>
      </c>
      <c r="U40" s="59">
        <f t="shared" si="2"/>
        <v>0</v>
      </c>
    </row>
    <row r="41" spans="1:21" s="60" customFormat="1" ht="12" outlineLevel="1" x14ac:dyDescent="0.2">
      <c r="A41" s="34" t="s">
        <v>111</v>
      </c>
      <c r="B41" s="73" t="s">
        <v>104</v>
      </c>
      <c r="C41" s="47">
        <f>D41/D78</f>
        <v>0.15595333869670153</v>
      </c>
      <c r="D41" s="50">
        <f t="shared" si="0"/>
        <v>3877</v>
      </c>
      <c r="E41" s="52">
        <v>46524</v>
      </c>
      <c r="F41" s="82">
        <v>59760</v>
      </c>
      <c r="G41" s="102"/>
      <c r="H41" s="83">
        <f>2547</f>
        <v>2547</v>
      </c>
      <c r="I41" s="83">
        <f>18344+2523</f>
        <v>20867</v>
      </c>
      <c r="J41" s="83">
        <f>4000</f>
        <v>4000</v>
      </c>
      <c r="K41" s="83">
        <v>2448</v>
      </c>
      <c r="L41" s="83">
        <v>1600</v>
      </c>
      <c r="M41" s="83"/>
      <c r="N41" s="83"/>
      <c r="O41" s="83">
        <v>6700</v>
      </c>
      <c r="P41" s="83">
        <v>2400</v>
      </c>
      <c r="Q41" s="83">
        <v>1300</v>
      </c>
      <c r="R41" s="83">
        <v>3100</v>
      </c>
      <c r="S41" s="138">
        <v>1562.4</v>
      </c>
      <c r="T41" s="59">
        <f t="shared" si="9"/>
        <v>46524.4</v>
      </c>
      <c r="U41" s="59">
        <f t="shared" si="2"/>
        <v>-0.40000000000145519</v>
      </c>
    </row>
    <row r="42" spans="1:21" s="60" customFormat="1" ht="12" outlineLevel="1" x14ac:dyDescent="0.2">
      <c r="A42" s="34" t="s">
        <v>165</v>
      </c>
      <c r="B42" s="46" t="s">
        <v>25</v>
      </c>
      <c r="C42" s="47">
        <f>D42/D78</f>
        <v>9.5534995977473849E-2</v>
      </c>
      <c r="D42" s="50">
        <f t="shared" si="0"/>
        <v>2375</v>
      </c>
      <c r="E42" s="52">
        <v>28500</v>
      </c>
      <c r="F42" s="177"/>
      <c r="G42" s="118"/>
      <c r="H42" s="113"/>
      <c r="I42" s="113">
        <f>6500+3000</f>
        <v>9500</v>
      </c>
      <c r="J42" s="113"/>
      <c r="K42" s="113"/>
      <c r="L42" s="113">
        <v>3500</v>
      </c>
      <c r="M42" s="113"/>
      <c r="N42" s="113"/>
      <c r="O42" s="113">
        <f>2500+1000</f>
        <v>3500</v>
      </c>
      <c r="P42" s="113">
        <f>6000+2000</f>
        <v>8000</v>
      </c>
      <c r="Q42" s="113"/>
      <c r="R42" s="113"/>
      <c r="S42" s="178">
        <v>4000</v>
      </c>
      <c r="T42" s="59">
        <f t="shared" si="9"/>
        <v>28500</v>
      </c>
      <c r="U42" s="59">
        <f t="shared" si="2"/>
        <v>0</v>
      </c>
    </row>
    <row r="43" spans="1:21" s="60" customFormat="1" outlineLevel="1" thickBot="1" x14ac:dyDescent="0.25">
      <c r="A43" s="34" t="s">
        <v>166</v>
      </c>
      <c r="B43" s="60" t="s">
        <v>137</v>
      </c>
      <c r="C43" s="47">
        <f>D43/D78</f>
        <v>6.7042102440332527E-2</v>
      </c>
      <c r="D43" s="50">
        <f t="shared" ref="D43:D76" si="11">E43/12</f>
        <v>1666.6666666666667</v>
      </c>
      <c r="E43" s="52">
        <v>20000</v>
      </c>
      <c r="F43" s="82"/>
      <c r="G43" s="102"/>
      <c r="H43" s="83"/>
      <c r="I43" s="83"/>
      <c r="J43" s="83"/>
      <c r="K43" s="83"/>
      <c r="L43" s="83"/>
      <c r="M43" s="83"/>
      <c r="N43" s="83">
        <v>20000</v>
      </c>
      <c r="O43" s="83"/>
      <c r="P43" s="83"/>
      <c r="Q43" s="83"/>
      <c r="R43" s="83"/>
      <c r="S43" s="138"/>
      <c r="T43" s="72">
        <f t="shared" si="9"/>
        <v>20000</v>
      </c>
      <c r="U43" s="59">
        <f t="shared" si="2"/>
        <v>0</v>
      </c>
    </row>
    <row r="44" spans="1:21" x14ac:dyDescent="0.2">
      <c r="A44" s="30">
        <v>10</v>
      </c>
      <c r="B44" s="7" t="s">
        <v>169</v>
      </c>
      <c r="C44" s="40">
        <f>D44/D78</f>
        <v>0.86513140252078313</v>
      </c>
      <c r="D44" s="17">
        <f t="shared" si="11"/>
        <v>21507.166666666668</v>
      </c>
      <c r="E44" s="70">
        <f>SUM(E45:E54)</f>
        <v>258086</v>
      </c>
      <c r="F44" s="78">
        <f>SUM(F45:F54)</f>
        <v>6404.38</v>
      </c>
      <c r="G44" s="79">
        <f>SUM(G45:G54)</f>
        <v>573.6</v>
      </c>
      <c r="H44" s="79">
        <f>SUM(H45:H54)</f>
        <v>4187.5</v>
      </c>
      <c r="I44" s="79">
        <f t="shared" ref="I44:S44" si="12">SUM(I45:I54)</f>
        <v>4832.55</v>
      </c>
      <c r="J44" s="79">
        <f t="shared" si="12"/>
        <v>14312</v>
      </c>
      <c r="K44" s="79">
        <f t="shared" si="12"/>
        <v>10711.25</v>
      </c>
      <c r="L44" s="79">
        <f t="shared" si="12"/>
        <v>15864.79</v>
      </c>
      <c r="M44" s="79">
        <f t="shared" si="12"/>
        <v>1146</v>
      </c>
      <c r="N44" s="79">
        <f t="shared" si="12"/>
        <v>39398.9</v>
      </c>
      <c r="O44" s="79">
        <f t="shared" si="12"/>
        <v>16798</v>
      </c>
      <c r="P44" s="79">
        <f t="shared" si="12"/>
        <v>7320.5</v>
      </c>
      <c r="Q44" s="79">
        <f t="shared" si="12"/>
        <v>9373</v>
      </c>
      <c r="R44" s="79">
        <f t="shared" si="12"/>
        <v>20155.5</v>
      </c>
      <c r="S44" s="79">
        <f t="shared" si="12"/>
        <v>83306.33</v>
      </c>
      <c r="T44" s="142">
        <f t="shared" si="9"/>
        <v>227979.91999999998</v>
      </c>
      <c r="U44" s="24">
        <f t="shared" si="2"/>
        <v>30106.080000000016</v>
      </c>
    </row>
    <row r="45" spans="1:21" s="60" customFormat="1" ht="12" outlineLevel="1" x14ac:dyDescent="0.2">
      <c r="A45" s="34" t="s">
        <v>73</v>
      </c>
      <c r="B45" s="46" t="s">
        <v>106</v>
      </c>
      <c r="C45" s="47">
        <f>D45/D78</f>
        <v>6.7042102440332527E-2</v>
      </c>
      <c r="D45" s="50">
        <f t="shared" si="11"/>
        <v>1666.6666666666667</v>
      </c>
      <c r="E45" s="52">
        <v>20000</v>
      </c>
      <c r="F45" s="82"/>
      <c r="G45" s="102"/>
      <c r="H45" s="83"/>
      <c r="I45" s="83"/>
      <c r="J45" s="83"/>
      <c r="K45" s="83">
        <v>1504.8</v>
      </c>
      <c r="L45" s="180">
        <f>2526.6</f>
        <v>2526.6</v>
      </c>
      <c r="M45" s="83"/>
      <c r="N45" s="83"/>
      <c r="O45" s="83"/>
      <c r="P45" s="83"/>
      <c r="Q45" s="83"/>
      <c r="R45" s="83"/>
      <c r="S45" s="138"/>
      <c r="T45" s="59">
        <f t="shared" si="9"/>
        <v>4031.3999999999996</v>
      </c>
      <c r="U45" s="59">
        <f t="shared" si="2"/>
        <v>15968.6</v>
      </c>
    </row>
    <row r="46" spans="1:21" s="60" customFormat="1" ht="12" outlineLevel="1" x14ac:dyDescent="0.2">
      <c r="A46" s="34" t="s">
        <v>74</v>
      </c>
      <c r="B46" s="46" t="s">
        <v>116</v>
      </c>
      <c r="C46" s="47">
        <f>D46/D78</f>
        <v>0.12570394207562349</v>
      </c>
      <c r="D46" s="50">
        <f t="shared" si="11"/>
        <v>3125</v>
      </c>
      <c r="E46" s="52">
        <v>37500</v>
      </c>
      <c r="F46" s="82">
        <f>4833</f>
        <v>4833</v>
      </c>
      <c r="G46" s="102">
        <v>573.6</v>
      </c>
      <c r="H46" s="83">
        <f>2520+447.5</f>
        <v>2967.5</v>
      </c>
      <c r="I46" s="102">
        <f>1741.5+1782</f>
        <v>3523.5</v>
      </c>
      <c r="J46" s="83">
        <f>162+105+61+88</f>
        <v>416</v>
      </c>
      <c r="K46" s="102">
        <f>10+63</f>
        <v>73</v>
      </c>
      <c r="L46" s="83">
        <f>3297+134.5+27+233+220+58+55+1540.26+1611.63</f>
        <v>7176.39</v>
      </c>
      <c r="M46" s="102"/>
      <c r="N46" s="83">
        <f>150+90+55+639.9</f>
        <v>934.9</v>
      </c>
      <c r="O46" s="102">
        <f>270+55+135+143+245</f>
        <v>848</v>
      </c>
      <c r="P46" s="83">
        <f>220+51+6107.5</f>
        <v>6378.5</v>
      </c>
      <c r="Q46" s="102">
        <f>50+45+378+440+48+22+185+100</f>
        <v>1268</v>
      </c>
      <c r="R46" s="83">
        <f>432+409.5+354.6+515.7+72+207+477+171+329.4+2968.2</f>
        <v>5936.4</v>
      </c>
      <c r="S46" s="138">
        <v>481.5</v>
      </c>
      <c r="T46" s="59">
        <f t="shared" si="9"/>
        <v>30577.29</v>
      </c>
      <c r="U46" s="59">
        <f t="shared" si="2"/>
        <v>6922.7099999999991</v>
      </c>
    </row>
    <row r="47" spans="1:21" s="60" customFormat="1" ht="12" outlineLevel="1" x14ac:dyDescent="0.2">
      <c r="A47" s="34" t="s">
        <v>75</v>
      </c>
      <c r="B47" s="46" t="s">
        <v>103</v>
      </c>
      <c r="C47" s="47">
        <f>D47/D78</f>
        <v>3.3521051220166263E-2</v>
      </c>
      <c r="D47" s="50">
        <f t="shared" si="11"/>
        <v>833.33333333333337</v>
      </c>
      <c r="E47" s="52">
        <v>10000</v>
      </c>
      <c r="F47" s="82"/>
      <c r="G47" s="102"/>
      <c r="H47" s="83"/>
      <c r="I47" s="83"/>
      <c r="J47" s="83">
        <v>10000</v>
      </c>
      <c r="K47" s="83"/>
      <c r="L47" s="83"/>
      <c r="M47" s="83"/>
      <c r="N47" s="83"/>
      <c r="O47" s="83"/>
      <c r="P47" s="83"/>
      <c r="Q47" s="83"/>
      <c r="R47" s="83"/>
      <c r="S47" s="138"/>
      <c r="T47" s="59">
        <f t="shared" si="9"/>
        <v>10000</v>
      </c>
      <c r="U47" s="59">
        <f t="shared" si="2"/>
        <v>0</v>
      </c>
    </row>
    <row r="48" spans="1:21" s="60" customFormat="1" ht="12" outlineLevel="1" x14ac:dyDescent="0.2">
      <c r="A48" s="34" t="s">
        <v>97</v>
      </c>
      <c r="B48" s="46" t="s">
        <v>28</v>
      </c>
      <c r="C48" s="47">
        <f>D48/D78</f>
        <v>3.3521051220166263E-2</v>
      </c>
      <c r="D48" s="50">
        <f t="shared" si="11"/>
        <v>833.33333333333337</v>
      </c>
      <c r="E48" s="52">
        <v>10000</v>
      </c>
      <c r="F48" s="82"/>
      <c r="G48" s="102"/>
      <c r="H48" s="83"/>
      <c r="I48" s="83"/>
      <c r="J48" s="83">
        <v>1200</v>
      </c>
      <c r="K48" s="83"/>
      <c r="L48" s="83"/>
      <c r="M48" s="83"/>
      <c r="N48" s="83"/>
      <c r="O48" s="83"/>
      <c r="P48" s="83"/>
      <c r="Q48" s="83"/>
      <c r="R48" s="83"/>
      <c r="S48" s="138"/>
      <c r="T48" s="59">
        <f t="shared" si="9"/>
        <v>1200</v>
      </c>
      <c r="U48" s="59">
        <f t="shared" si="2"/>
        <v>8800</v>
      </c>
    </row>
    <row r="49" spans="1:21" s="60" customFormat="1" ht="12" outlineLevel="1" x14ac:dyDescent="0.2">
      <c r="A49" s="34" t="s">
        <v>100</v>
      </c>
      <c r="B49" s="73" t="s">
        <v>101</v>
      </c>
      <c r="C49" s="47">
        <f>D49/D78</f>
        <v>4.4365111289890055E-2</v>
      </c>
      <c r="D49" s="50">
        <f t="shared" si="11"/>
        <v>1102.9166666666667</v>
      </c>
      <c r="E49" s="52">
        <v>13235</v>
      </c>
      <c r="F49" s="82"/>
      <c r="G49" s="102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>
        <f>255+380+12600</f>
        <v>13235</v>
      </c>
      <c r="S49" s="138"/>
      <c r="T49" s="59">
        <f t="shared" si="9"/>
        <v>13235</v>
      </c>
      <c r="U49" s="59">
        <f t="shared" si="2"/>
        <v>0</v>
      </c>
    </row>
    <row r="50" spans="1:21" s="60" customFormat="1" ht="12" outlineLevel="1" x14ac:dyDescent="0.2">
      <c r="A50" s="34" t="s">
        <v>105</v>
      </c>
      <c r="B50" s="46" t="s">
        <v>150</v>
      </c>
      <c r="C50" s="47">
        <f>D50/D78</f>
        <v>0.41726669348350764</v>
      </c>
      <c r="D50" s="50">
        <f>E50/12</f>
        <v>10373.25</v>
      </c>
      <c r="E50" s="52">
        <v>124479</v>
      </c>
      <c r="F50" s="82">
        <v>1571.38</v>
      </c>
      <c r="G50" s="102"/>
      <c r="H50" s="83">
        <v>1220</v>
      </c>
      <c r="I50" s="83">
        <v>1309.05</v>
      </c>
      <c r="J50" s="83">
        <v>2696</v>
      </c>
      <c r="K50" s="83">
        <f>1036.45+250+649+176+760+400</f>
        <v>3271.45</v>
      </c>
      <c r="L50" s="83">
        <f>5376.8+300+320+165</f>
        <v>6161.8</v>
      </c>
      <c r="M50" s="83">
        <f>149+630+367</f>
        <v>1146</v>
      </c>
      <c r="N50" s="83">
        <f>15300+824+150+16340+5850</f>
        <v>38464</v>
      </c>
      <c r="O50" s="83">
        <v>15950</v>
      </c>
      <c r="P50" s="83">
        <f>589.5+352.5</f>
        <v>942</v>
      </c>
      <c r="Q50" s="83">
        <f>200+1292+593</f>
        <v>2085</v>
      </c>
      <c r="R50" s="83">
        <f>247.7+500+100.5+135.9</f>
        <v>984.1</v>
      </c>
      <c r="S50" s="194">
        <f>50620+613+27+25</f>
        <v>51285</v>
      </c>
      <c r="T50" s="59">
        <f t="shared" si="9"/>
        <v>125514.40000000001</v>
      </c>
      <c r="U50" s="59">
        <f t="shared" si="2"/>
        <v>-1035.4000000000087</v>
      </c>
    </row>
    <row r="51" spans="1:21" s="60" customFormat="1" ht="12" outlineLevel="1" x14ac:dyDescent="0.2">
      <c r="A51" s="34" t="s">
        <v>108</v>
      </c>
      <c r="B51" s="46" t="s">
        <v>113</v>
      </c>
      <c r="C51" s="47">
        <f>D51/D78</f>
        <v>1.9650040225261463E-2</v>
      </c>
      <c r="D51" s="50">
        <f>E51/12</f>
        <v>488.5</v>
      </c>
      <c r="E51" s="52">
        <v>5862</v>
      </c>
      <c r="F51" s="82"/>
      <c r="G51" s="102"/>
      <c r="H51" s="83"/>
      <c r="I51" s="83"/>
      <c r="J51" s="83"/>
      <c r="K51" s="83">
        <v>5862</v>
      </c>
      <c r="L51" s="83"/>
      <c r="M51" s="83"/>
      <c r="N51" s="83"/>
      <c r="O51" s="83"/>
      <c r="P51" s="83"/>
      <c r="Q51" s="83"/>
      <c r="R51" s="83"/>
      <c r="S51" s="138"/>
      <c r="T51" s="59">
        <f t="shared" si="9"/>
        <v>5862</v>
      </c>
      <c r="U51" s="59">
        <f t="shared" si="2"/>
        <v>0</v>
      </c>
    </row>
    <row r="52" spans="1:21" s="60" customFormat="1" ht="12" outlineLevel="1" x14ac:dyDescent="0.2">
      <c r="A52" s="34" t="s">
        <v>170</v>
      </c>
      <c r="B52" s="46" t="s">
        <v>178</v>
      </c>
      <c r="C52" s="47">
        <f>D52/D78</f>
        <v>0.10388173773129525</v>
      </c>
      <c r="D52" s="50">
        <f>E52/12</f>
        <v>2582.5</v>
      </c>
      <c r="E52" s="52">
        <v>30990</v>
      </c>
      <c r="F52" s="82"/>
      <c r="G52" s="102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138">
        <v>30990</v>
      </c>
      <c r="T52" s="59">
        <f t="shared" si="9"/>
        <v>30990</v>
      </c>
      <c r="U52" s="59">
        <f t="shared" si="2"/>
        <v>0</v>
      </c>
    </row>
    <row r="53" spans="1:21" s="60" customFormat="1" ht="12" outlineLevel="1" x14ac:dyDescent="0.2">
      <c r="A53" s="34" t="s">
        <v>176</v>
      </c>
      <c r="B53" s="46" t="s">
        <v>179</v>
      </c>
      <c r="C53" s="47">
        <f>D53/D78</f>
        <v>2.0179672834540092E-2</v>
      </c>
      <c r="D53" s="50">
        <f>E53/12</f>
        <v>501.66666666666669</v>
      </c>
      <c r="E53" s="52">
        <v>6020</v>
      </c>
      <c r="F53" s="82"/>
      <c r="G53" s="102"/>
      <c r="H53" s="83"/>
      <c r="I53" s="83"/>
      <c r="J53" s="83"/>
      <c r="K53" s="83"/>
      <c r="L53" s="83"/>
      <c r="M53" s="83"/>
      <c r="N53" s="83"/>
      <c r="O53" s="83"/>
      <c r="P53" s="83"/>
      <c r="Q53" s="83">
        <v>6020</v>
      </c>
      <c r="R53" s="83"/>
      <c r="S53" s="138"/>
      <c r="T53" s="59">
        <f t="shared" si="9"/>
        <v>6020</v>
      </c>
      <c r="U53" s="59">
        <f t="shared" si="2"/>
        <v>0</v>
      </c>
    </row>
    <row r="54" spans="1:21" s="60" customFormat="1" outlineLevel="1" thickBot="1" x14ac:dyDescent="0.25">
      <c r="A54" s="34" t="s">
        <v>177</v>
      </c>
      <c r="B54" s="73" t="s">
        <v>171</v>
      </c>
      <c r="C54" s="47">
        <f>D54/D78</f>
        <v>0</v>
      </c>
      <c r="D54" s="50">
        <f t="shared" si="11"/>
        <v>0</v>
      </c>
      <c r="E54" s="52">
        <v>0</v>
      </c>
      <c r="F54" s="82"/>
      <c r="G54" s="10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38">
        <v>549.83000000000004</v>
      </c>
      <c r="T54" s="72">
        <f t="shared" si="9"/>
        <v>549.83000000000004</v>
      </c>
      <c r="U54" s="59">
        <f t="shared" si="2"/>
        <v>-549.83000000000004</v>
      </c>
    </row>
    <row r="55" spans="1:21" x14ac:dyDescent="0.2">
      <c r="A55" s="30">
        <v>11</v>
      </c>
      <c r="B55" s="7" t="s">
        <v>98</v>
      </c>
      <c r="C55" s="40">
        <f>D55/D78</f>
        <v>3.3452768838830784</v>
      </c>
      <c r="D55" s="17">
        <f t="shared" si="11"/>
        <v>83163.583333333328</v>
      </c>
      <c r="E55" s="70">
        <f t="shared" ref="E55:J55" si="13">SUM(E56:E71)</f>
        <v>997963</v>
      </c>
      <c r="F55" s="78">
        <f t="shared" si="13"/>
        <v>11550</v>
      </c>
      <c r="G55" s="101">
        <f t="shared" si="13"/>
        <v>0</v>
      </c>
      <c r="H55" s="79">
        <f t="shared" si="13"/>
        <v>0</v>
      </c>
      <c r="I55" s="79">
        <f t="shared" si="13"/>
        <v>7139</v>
      </c>
      <c r="J55" s="79">
        <f t="shared" si="13"/>
        <v>54339</v>
      </c>
      <c r="K55" s="101">
        <f t="shared" ref="K55:S55" si="14">SUM(K56:K71)</f>
        <v>47957</v>
      </c>
      <c r="L55" s="79">
        <f t="shared" si="14"/>
        <v>597</v>
      </c>
      <c r="M55" s="79">
        <f t="shared" si="14"/>
        <v>187522</v>
      </c>
      <c r="N55" s="79">
        <f>SUM(N56:N71)</f>
        <v>27930</v>
      </c>
      <c r="O55" s="101">
        <f t="shared" si="14"/>
        <v>99407</v>
      </c>
      <c r="P55" s="79">
        <f t="shared" si="14"/>
        <v>38900</v>
      </c>
      <c r="Q55" s="79">
        <f t="shared" si="14"/>
        <v>3260</v>
      </c>
      <c r="R55" s="79">
        <f t="shared" si="14"/>
        <v>186605</v>
      </c>
      <c r="S55" s="139">
        <f t="shared" si="14"/>
        <v>700</v>
      </c>
      <c r="T55" s="142">
        <f t="shared" si="9"/>
        <v>654356</v>
      </c>
      <c r="U55" s="24">
        <f t="shared" si="2"/>
        <v>343607</v>
      </c>
    </row>
    <row r="56" spans="1:21" s="60" customFormat="1" ht="12" outlineLevel="1" x14ac:dyDescent="0.2">
      <c r="A56" s="34" t="s">
        <v>76</v>
      </c>
      <c r="B56" s="46" t="s">
        <v>160</v>
      </c>
      <c r="C56" s="47">
        <f>D56/D78</f>
        <v>0.2547398766425315</v>
      </c>
      <c r="D56" s="50">
        <f t="shared" si="11"/>
        <v>6332.833333333333</v>
      </c>
      <c r="E56" s="52">
        <v>75994</v>
      </c>
      <c r="F56" s="82"/>
      <c r="G56" s="102"/>
      <c r="H56" s="83"/>
      <c r="I56" s="83"/>
      <c r="J56" s="83">
        <v>3500</v>
      </c>
      <c r="K56" s="175"/>
      <c r="L56" s="83"/>
      <c r="M56" s="83">
        <f>28536+22728</f>
        <v>51264</v>
      </c>
      <c r="N56" s="83">
        <v>21230</v>
      </c>
      <c r="O56" s="83"/>
      <c r="P56" s="83"/>
      <c r="Q56" s="83"/>
      <c r="R56" s="83"/>
      <c r="S56" s="138"/>
      <c r="T56" s="59">
        <f t="shared" si="9"/>
        <v>75994</v>
      </c>
      <c r="U56" s="59">
        <f t="shared" si="2"/>
        <v>0</v>
      </c>
    </row>
    <row r="57" spans="1:21" s="60" customFormat="1" ht="12" outlineLevel="1" x14ac:dyDescent="0.2">
      <c r="A57" s="34" t="s">
        <v>77</v>
      </c>
      <c r="B57" s="73" t="s">
        <v>142</v>
      </c>
      <c r="C57" s="47">
        <f>D57/D78</f>
        <v>0.49916197371949583</v>
      </c>
      <c r="D57" s="50">
        <f t="shared" si="11"/>
        <v>12409.166666666666</v>
      </c>
      <c r="E57" s="52">
        <v>148910</v>
      </c>
      <c r="F57" s="82"/>
      <c r="G57" s="102"/>
      <c r="H57" s="83"/>
      <c r="I57" s="83"/>
      <c r="J57" s="83"/>
      <c r="K57" s="83"/>
      <c r="L57" s="83"/>
      <c r="M57" s="83">
        <f>51100</f>
        <v>51100</v>
      </c>
      <c r="N57" s="83"/>
      <c r="O57" s="83">
        <f>46710+51100</f>
        <v>97810</v>
      </c>
      <c r="P57" s="83"/>
      <c r="Q57" s="83"/>
      <c r="R57" s="83"/>
      <c r="S57" s="138"/>
      <c r="T57" s="59">
        <f t="shared" si="9"/>
        <v>148910</v>
      </c>
      <c r="U57" s="59">
        <f t="shared" si="2"/>
        <v>0</v>
      </c>
    </row>
    <row r="58" spans="1:21" s="60" customFormat="1" ht="12" outlineLevel="1" x14ac:dyDescent="0.2">
      <c r="A58" s="34" t="s">
        <v>78</v>
      </c>
      <c r="B58" s="46" t="s">
        <v>26</v>
      </c>
      <c r="C58" s="47">
        <f>D58/D78</f>
        <v>0.3678600160901046</v>
      </c>
      <c r="D58" s="50">
        <f t="shared" si="11"/>
        <v>9145</v>
      </c>
      <c r="E58" s="52">
        <v>109740</v>
      </c>
      <c r="F58" s="82"/>
      <c r="G58" s="102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>
        <v>109740</v>
      </c>
      <c r="S58" s="138"/>
      <c r="T58" s="59">
        <f t="shared" si="9"/>
        <v>109740</v>
      </c>
      <c r="U58" s="59">
        <f t="shared" si="2"/>
        <v>0</v>
      </c>
    </row>
    <row r="59" spans="1:21" s="60" customFormat="1" ht="12" outlineLevel="1" x14ac:dyDescent="0.2">
      <c r="A59" s="34" t="s">
        <v>79</v>
      </c>
      <c r="B59" s="46" t="s">
        <v>109</v>
      </c>
      <c r="C59" s="47">
        <f>D59/D78</f>
        <v>2.6816840976133009E-2</v>
      </c>
      <c r="D59" s="50">
        <f t="shared" si="11"/>
        <v>666.66666666666663</v>
      </c>
      <c r="E59" s="52">
        <v>8000</v>
      </c>
      <c r="F59" s="82"/>
      <c r="G59" s="102"/>
      <c r="H59" s="83"/>
      <c r="I59" s="83"/>
      <c r="J59" s="83"/>
      <c r="K59" s="83"/>
      <c r="L59" s="83"/>
      <c r="M59" s="83"/>
      <c r="N59" s="83">
        <v>6000</v>
      </c>
      <c r="O59" s="83">
        <v>897</v>
      </c>
      <c r="P59" s="83"/>
      <c r="Q59" s="83"/>
      <c r="R59" s="83"/>
      <c r="S59" s="138"/>
      <c r="T59" s="59">
        <f t="shared" si="9"/>
        <v>6897</v>
      </c>
      <c r="U59" s="59">
        <f t="shared" si="2"/>
        <v>1103</v>
      </c>
    </row>
    <row r="60" spans="1:21" s="60" customFormat="1" ht="12" outlineLevel="1" x14ac:dyDescent="0.2">
      <c r="A60" s="34" t="s">
        <v>80</v>
      </c>
      <c r="B60" s="73" t="s">
        <v>141</v>
      </c>
      <c r="C60" s="47">
        <f>D60/D78</f>
        <v>0.16864440868865649</v>
      </c>
      <c r="D60" s="50">
        <f t="shared" si="11"/>
        <v>4192.5</v>
      </c>
      <c r="E60" s="52">
        <v>50310</v>
      </c>
      <c r="F60" s="82"/>
      <c r="G60" s="102"/>
      <c r="H60" s="83"/>
      <c r="I60" s="83"/>
      <c r="J60" s="83">
        <v>50310</v>
      </c>
      <c r="K60" s="83"/>
      <c r="L60" s="83"/>
      <c r="M60" s="83"/>
      <c r="N60" s="83"/>
      <c r="O60" s="83"/>
      <c r="P60" s="83"/>
      <c r="Q60" s="83"/>
      <c r="R60" s="83"/>
      <c r="S60" s="138"/>
      <c r="T60" s="59">
        <f t="shared" si="9"/>
        <v>50310</v>
      </c>
      <c r="U60" s="59">
        <f t="shared" si="2"/>
        <v>0</v>
      </c>
    </row>
    <row r="61" spans="1:21" s="60" customFormat="1" ht="12" outlineLevel="1" x14ac:dyDescent="0.2">
      <c r="A61" s="34" t="s">
        <v>81</v>
      </c>
      <c r="B61" s="73" t="s">
        <v>172</v>
      </c>
      <c r="C61" s="47">
        <f>D61/D78</f>
        <v>0.53633681952266021</v>
      </c>
      <c r="D61" s="50">
        <f t="shared" si="11"/>
        <v>13333.333333333334</v>
      </c>
      <c r="E61" s="52">
        <v>160000</v>
      </c>
      <c r="F61" s="82"/>
      <c r="G61" s="102"/>
      <c r="H61" s="83"/>
      <c r="I61" s="83"/>
      <c r="J61" s="83"/>
      <c r="K61" s="83"/>
      <c r="L61" s="83"/>
      <c r="M61" s="83">
        <f>50634.5+21700.5</f>
        <v>72335</v>
      </c>
      <c r="N61" s="83"/>
      <c r="O61" s="83"/>
      <c r="P61" s="83"/>
      <c r="Q61" s="83"/>
      <c r="R61" s="83"/>
      <c r="S61" s="138"/>
      <c r="T61" s="59">
        <f t="shared" si="9"/>
        <v>72335</v>
      </c>
      <c r="U61" s="191">
        <f t="shared" si="2"/>
        <v>87665</v>
      </c>
    </row>
    <row r="62" spans="1:21" s="60" customFormat="1" ht="12" outlineLevel="1" x14ac:dyDescent="0.2">
      <c r="A62" s="34" t="s">
        <v>82</v>
      </c>
      <c r="B62" s="46" t="s">
        <v>99</v>
      </c>
      <c r="C62" s="47">
        <f>D62/D78</f>
        <v>2.6816840976133009E-2</v>
      </c>
      <c r="D62" s="50">
        <f t="shared" si="11"/>
        <v>666.66666666666663</v>
      </c>
      <c r="E62" s="52">
        <v>8000</v>
      </c>
      <c r="F62" s="82"/>
      <c r="G62" s="102"/>
      <c r="H62" s="83"/>
      <c r="I62" s="83">
        <v>3539</v>
      </c>
      <c r="J62" s="83">
        <v>529</v>
      </c>
      <c r="K62" s="83"/>
      <c r="L62" s="83"/>
      <c r="M62" s="83"/>
      <c r="N62" s="83"/>
      <c r="O62" s="83"/>
      <c r="P62" s="83"/>
      <c r="Q62" s="83"/>
      <c r="R62" s="83"/>
      <c r="S62" s="138"/>
      <c r="T62" s="59">
        <f t="shared" si="9"/>
        <v>4068</v>
      </c>
      <c r="U62" s="191">
        <f t="shared" si="2"/>
        <v>3932</v>
      </c>
    </row>
    <row r="63" spans="1:21" s="60" customFormat="1" ht="12" outlineLevel="1" x14ac:dyDescent="0.2">
      <c r="A63" s="34" t="s">
        <v>83</v>
      </c>
      <c r="B63" s="73" t="s">
        <v>163</v>
      </c>
      <c r="C63" s="47">
        <f>D63/D78</f>
        <v>1.4923572003218021E-2</v>
      </c>
      <c r="D63" s="50">
        <f t="shared" si="11"/>
        <v>371</v>
      </c>
      <c r="E63" s="52">
        <v>4452</v>
      </c>
      <c r="F63" s="82"/>
      <c r="G63" s="102"/>
      <c r="H63" s="83"/>
      <c r="I63" s="83"/>
      <c r="J63" s="83" t="s">
        <v>159</v>
      </c>
      <c r="K63" s="83"/>
      <c r="L63" s="83"/>
      <c r="M63" s="83">
        <v>252</v>
      </c>
      <c r="N63" s="83">
        <v>700</v>
      </c>
      <c r="O63" s="83">
        <v>700</v>
      </c>
      <c r="P63" s="83"/>
      <c r="Q63" s="83">
        <v>1400</v>
      </c>
      <c r="R63" s="83">
        <v>700</v>
      </c>
      <c r="S63" s="138">
        <v>700</v>
      </c>
      <c r="T63" s="59">
        <f t="shared" si="9"/>
        <v>4452</v>
      </c>
      <c r="U63" s="191">
        <f t="shared" si="2"/>
        <v>0</v>
      </c>
    </row>
    <row r="64" spans="1:21" s="60" customFormat="1" ht="12" outlineLevel="1" x14ac:dyDescent="0.2">
      <c r="A64" s="34" t="s">
        <v>84</v>
      </c>
      <c r="B64" s="46" t="s">
        <v>162</v>
      </c>
      <c r="C64" s="47">
        <f>D64/D78</f>
        <v>0.10726736390453204</v>
      </c>
      <c r="D64" s="50">
        <f t="shared" si="11"/>
        <v>2666.6666666666665</v>
      </c>
      <c r="E64" s="52">
        <v>32000</v>
      </c>
      <c r="F64" s="82">
        <v>11550</v>
      </c>
      <c r="G64" s="102"/>
      <c r="H64" s="83"/>
      <c r="I64" s="83"/>
      <c r="J64" s="83"/>
      <c r="K64" s="83"/>
      <c r="L64" s="83"/>
      <c r="M64" s="83">
        <v>12571</v>
      </c>
      <c r="N64" s="175"/>
      <c r="O64" s="83"/>
      <c r="P64" s="83"/>
      <c r="Q64" s="83"/>
      <c r="R64" s="83">
        <v>7125</v>
      </c>
      <c r="S64" s="138"/>
      <c r="T64" s="59">
        <f t="shared" si="9"/>
        <v>19696</v>
      </c>
      <c r="U64" s="191">
        <f t="shared" si="2"/>
        <v>12304</v>
      </c>
    </row>
    <row r="65" spans="1:21" s="60" customFormat="1" ht="12" outlineLevel="1" x14ac:dyDescent="0.2">
      <c r="A65" s="34" t="s">
        <v>85</v>
      </c>
      <c r="B65" s="46" t="s">
        <v>110</v>
      </c>
      <c r="C65" s="47">
        <f>D65/D78</f>
        <v>3.3521051220166263E-2</v>
      </c>
      <c r="D65" s="50">
        <f t="shared" si="11"/>
        <v>833.33333333333337</v>
      </c>
      <c r="E65" s="52">
        <v>10000</v>
      </c>
      <c r="F65" s="82"/>
      <c r="G65" s="102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138"/>
      <c r="T65" s="59">
        <f t="shared" si="9"/>
        <v>0</v>
      </c>
      <c r="U65" s="191">
        <f t="shared" si="2"/>
        <v>10000</v>
      </c>
    </row>
    <row r="66" spans="1:21" s="60" customFormat="1" ht="12" outlineLevel="1" x14ac:dyDescent="0.2">
      <c r="A66" s="34" t="s">
        <v>86</v>
      </c>
      <c r="B66" s="53" t="s">
        <v>147</v>
      </c>
      <c r="C66" s="47">
        <f>D66/D78</f>
        <v>0.45253419147224455</v>
      </c>
      <c r="D66" s="54">
        <f t="shared" ref="D66:D71" si="15">E66/12</f>
        <v>11250</v>
      </c>
      <c r="E66" s="94">
        <v>135000</v>
      </c>
      <c r="F66" s="82"/>
      <c r="G66" s="102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>
        <v>16800</v>
      </c>
      <c r="S66" s="138"/>
      <c r="T66" s="59">
        <f t="shared" si="9"/>
        <v>16800</v>
      </c>
      <c r="U66" s="191">
        <f t="shared" si="2"/>
        <v>118200</v>
      </c>
    </row>
    <row r="67" spans="1:21" s="60" customFormat="1" ht="12" outlineLevel="1" x14ac:dyDescent="0.2">
      <c r="A67" s="34" t="s">
        <v>87</v>
      </c>
      <c r="B67" s="53" t="s">
        <v>115</v>
      </c>
      <c r="C67" s="47">
        <f>D67/D78</f>
        <v>0.29604786806114242</v>
      </c>
      <c r="D67" s="54">
        <f t="shared" si="15"/>
        <v>7359.75</v>
      </c>
      <c r="E67" s="94">
        <v>88317</v>
      </c>
      <c r="F67" s="177"/>
      <c r="G67" s="118"/>
      <c r="H67" s="107"/>
      <c r="I67" s="83">
        <v>3600</v>
      </c>
      <c r="J67" s="113"/>
      <c r="K67" s="113">
        <f>30057+11500+2400</f>
        <v>43957</v>
      </c>
      <c r="L67" s="113"/>
      <c r="M67" s="113"/>
      <c r="N67" s="113"/>
      <c r="O67" s="113"/>
      <c r="P67" s="113">
        <v>38900</v>
      </c>
      <c r="Q67" s="113">
        <v>1860</v>
      </c>
      <c r="R67" s="113"/>
      <c r="S67" s="178"/>
      <c r="T67" s="59">
        <f t="shared" si="9"/>
        <v>88317</v>
      </c>
      <c r="U67" s="191">
        <f t="shared" si="2"/>
        <v>0</v>
      </c>
    </row>
    <row r="68" spans="1:21" s="60" customFormat="1" ht="12" outlineLevel="1" x14ac:dyDescent="0.2">
      <c r="A68" s="34" t="s">
        <v>114</v>
      </c>
      <c r="B68" s="87" t="s">
        <v>27</v>
      </c>
      <c r="C68" s="126">
        <f>D68/D78</f>
        <v>2.3464735854116386E-2</v>
      </c>
      <c r="D68" s="127">
        <f t="shared" si="15"/>
        <v>583.33333333333337</v>
      </c>
      <c r="E68" s="128">
        <v>7000</v>
      </c>
      <c r="F68" s="82"/>
      <c r="G68" s="102"/>
      <c r="H68" s="175"/>
      <c r="I68" s="83"/>
      <c r="J68" s="83"/>
      <c r="K68" s="83">
        <v>4000</v>
      </c>
      <c r="L68" s="83">
        <v>597</v>
      </c>
      <c r="M68" s="83"/>
      <c r="N68" s="83"/>
      <c r="O68" s="83"/>
      <c r="P68" s="83"/>
      <c r="Q68" s="83"/>
      <c r="R68" s="83"/>
      <c r="S68" s="138"/>
      <c r="T68" s="59">
        <f t="shared" si="9"/>
        <v>4597</v>
      </c>
      <c r="U68" s="191">
        <f t="shared" si="2"/>
        <v>2403</v>
      </c>
    </row>
    <row r="69" spans="1:21" s="60" customFormat="1" ht="12" outlineLevel="1" x14ac:dyDescent="0.2">
      <c r="A69" s="34" t="s">
        <v>138</v>
      </c>
      <c r="B69" s="129" t="s">
        <v>144</v>
      </c>
      <c r="C69" s="130">
        <f>D69/D78</f>
        <v>0.36202735317779566</v>
      </c>
      <c r="D69" s="131">
        <f t="shared" si="15"/>
        <v>9000</v>
      </c>
      <c r="E69" s="190">
        <v>108000</v>
      </c>
      <c r="F69" s="82"/>
      <c r="G69" s="10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138"/>
      <c r="T69" s="59">
        <f t="shared" si="9"/>
        <v>0</v>
      </c>
      <c r="U69" s="191">
        <f t="shared" si="2"/>
        <v>108000</v>
      </c>
    </row>
    <row r="70" spans="1:21" s="60" customFormat="1" ht="12" outlineLevel="1" x14ac:dyDescent="0.2">
      <c r="A70" s="34" t="s">
        <v>139</v>
      </c>
      <c r="B70" s="129" t="s">
        <v>173</v>
      </c>
      <c r="C70" s="130">
        <f>D70/D78</f>
        <v>0.11920085813891124</v>
      </c>
      <c r="D70" s="131">
        <f t="shared" si="15"/>
        <v>2963.3333333333335</v>
      </c>
      <c r="E70" s="190">
        <v>35560</v>
      </c>
      <c r="F70" s="82"/>
      <c r="G70" s="102"/>
      <c r="H70" s="83"/>
      <c r="I70" s="83"/>
      <c r="J70" s="83"/>
      <c r="K70" s="83"/>
      <c r="L70" s="58"/>
      <c r="M70" s="83"/>
      <c r="N70" s="83"/>
      <c r="O70" s="58"/>
      <c r="P70" s="83"/>
      <c r="Q70" s="83"/>
      <c r="R70" s="58">
        <f>15600+19960</f>
        <v>35560</v>
      </c>
      <c r="S70" s="138"/>
      <c r="T70" s="59">
        <f t="shared" si="9"/>
        <v>35560</v>
      </c>
      <c r="U70" s="59">
        <f t="shared" si="2"/>
        <v>0</v>
      </c>
    </row>
    <row r="71" spans="1:21" s="60" customFormat="1" outlineLevel="1" thickBot="1" x14ac:dyDescent="0.25">
      <c r="A71" s="34" t="s">
        <v>140</v>
      </c>
      <c r="B71" s="73" t="s">
        <v>174</v>
      </c>
      <c r="C71" s="121">
        <f>D71/D78</f>
        <v>5.5913113435237326E-2</v>
      </c>
      <c r="D71" s="122">
        <f t="shared" si="15"/>
        <v>1390</v>
      </c>
      <c r="E71" s="123">
        <v>16680</v>
      </c>
      <c r="F71" s="181"/>
      <c r="G71" s="124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>
        <v>16680</v>
      </c>
      <c r="S71" s="182"/>
      <c r="T71" s="140">
        <f t="shared" si="9"/>
        <v>16680</v>
      </c>
      <c r="U71" s="59">
        <f>E71-T71</f>
        <v>0</v>
      </c>
    </row>
    <row r="72" spans="1:21" ht="13.5" thickBot="1" x14ac:dyDescent="0.25">
      <c r="A72" s="28">
        <v>12</v>
      </c>
      <c r="B72" s="5" t="s">
        <v>143</v>
      </c>
      <c r="C72" s="43">
        <f>D72/D78</f>
        <v>0</v>
      </c>
      <c r="D72" s="16">
        <f t="shared" si="11"/>
        <v>0</v>
      </c>
      <c r="E72" s="69">
        <v>0</v>
      </c>
      <c r="F72" s="120"/>
      <c r="G72" s="114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63"/>
      <c r="T72" s="23">
        <f t="shared" si="9"/>
        <v>0</v>
      </c>
      <c r="U72" s="23">
        <f>E72-T72</f>
        <v>0</v>
      </c>
    </row>
    <row r="73" spans="1:21" ht="13.5" thickBot="1" x14ac:dyDescent="0.25">
      <c r="A73" s="28">
        <v>13</v>
      </c>
      <c r="B73" s="6" t="s">
        <v>29</v>
      </c>
      <c r="C73" s="39">
        <f>D73/D78</f>
        <v>0</v>
      </c>
      <c r="D73" s="16">
        <f t="shared" si="11"/>
        <v>0</v>
      </c>
      <c r="E73" s="69">
        <v>0</v>
      </c>
      <c r="F73" s="120"/>
      <c r="G73" s="11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63"/>
      <c r="T73" s="141">
        <f t="shared" si="9"/>
        <v>0</v>
      </c>
      <c r="U73" s="26">
        <f>E73-T73</f>
        <v>0</v>
      </c>
    </row>
    <row r="74" spans="1:21" ht="13.5" thickBot="1" x14ac:dyDescent="0.25">
      <c r="A74" s="63">
        <v>14</v>
      </c>
      <c r="B74" s="64" t="s">
        <v>102</v>
      </c>
      <c r="C74" s="95">
        <f>D74/D78</f>
        <v>1.1248994368463394</v>
      </c>
      <c r="D74" s="62">
        <f t="shared" si="11"/>
        <v>27965</v>
      </c>
      <c r="E74" s="65">
        <v>335580</v>
      </c>
      <c r="F74" s="48"/>
      <c r="G74" s="103">
        <v>76140</v>
      </c>
      <c r="H74" s="49">
        <v>2820</v>
      </c>
      <c r="I74" s="49">
        <v>2820</v>
      </c>
      <c r="J74" s="49">
        <f>76140+2820</f>
        <v>78960</v>
      </c>
      <c r="K74" s="49">
        <v>2820</v>
      </c>
      <c r="L74" s="49">
        <v>2820</v>
      </c>
      <c r="M74" s="49">
        <v>2820</v>
      </c>
      <c r="N74" s="49">
        <f>76140+2820</f>
        <v>78960</v>
      </c>
      <c r="O74" s="49">
        <v>2820</v>
      </c>
      <c r="P74" s="49">
        <f>2820+76140</f>
        <v>78960</v>
      </c>
      <c r="Q74" s="49">
        <v>2820</v>
      </c>
      <c r="R74" s="49">
        <f>2820+169200</f>
        <v>172020</v>
      </c>
      <c r="S74" s="133"/>
      <c r="T74" s="188">
        <f>SUM(G74:S74)</f>
        <v>504780</v>
      </c>
      <c r="U74" s="89">
        <f>E74-T74</f>
        <v>-169200</v>
      </c>
    </row>
    <row r="75" spans="1:21" ht="13.5" thickBot="1" x14ac:dyDescent="0.25">
      <c r="A75" s="63">
        <v>15</v>
      </c>
      <c r="B75" s="64" t="s">
        <v>148</v>
      </c>
      <c r="C75" s="61">
        <f>D75/D78</f>
        <v>0.13163046393134889</v>
      </c>
      <c r="D75" s="62">
        <f t="shared" si="11"/>
        <v>3272.3333333333335</v>
      </c>
      <c r="E75" s="65">
        <v>39268</v>
      </c>
      <c r="F75" s="48"/>
      <c r="G75" s="103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133"/>
      <c r="T75" s="189">
        <f t="shared" si="9"/>
        <v>0</v>
      </c>
      <c r="U75" s="89">
        <f>E75-T75</f>
        <v>39268</v>
      </c>
    </row>
    <row r="76" spans="1:21" ht="13.5" thickBot="1" x14ac:dyDescent="0.25">
      <c r="A76" s="202" t="s">
        <v>30</v>
      </c>
      <c r="B76" s="203"/>
      <c r="C76" s="66">
        <f>D76/D78</f>
        <v>11.000313555913113</v>
      </c>
      <c r="D76" s="67">
        <f t="shared" si="11"/>
        <v>273467.79499999998</v>
      </c>
      <c r="E76" s="68">
        <f>E5+E6+E7+E8+E11+E16+E17+E24+E30+E44+E55+E72+E73-E74-E75</f>
        <v>3281613.54</v>
      </c>
      <c r="F76" s="145">
        <f t="shared" ref="F76:R76" si="16">F5+F6+F7+F8+F11+F16+F17+F24+F30+F44+F55+F73-F74-F75</f>
        <v>86414.38</v>
      </c>
      <c r="G76" s="145">
        <f t="shared" si="16"/>
        <v>12351.060000000012</v>
      </c>
      <c r="H76" s="145">
        <f t="shared" si="16"/>
        <v>192304.99</v>
      </c>
      <c r="I76" s="145">
        <f t="shared" si="16"/>
        <v>279330.95</v>
      </c>
      <c r="J76" s="145">
        <f t="shared" si="16"/>
        <v>223738.19999999995</v>
      </c>
      <c r="K76" s="145">
        <f t="shared" si="16"/>
        <v>257420.33000000002</v>
      </c>
      <c r="L76" s="145">
        <f t="shared" si="16"/>
        <v>193040.41000000003</v>
      </c>
      <c r="M76" s="145">
        <f t="shared" si="16"/>
        <v>297253.16000000003</v>
      </c>
      <c r="N76" s="145">
        <f t="shared" si="16"/>
        <v>225678.13</v>
      </c>
      <c r="O76" s="145">
        <f t="shared" si="16"/>
        <v>319114.7</v>
      </c>
      <c r="P76" s="145">
        <f t="shared" si="16"/>
        <v>151792.60999999999</v>
      </c>
      <c r="Q76" s="145">
        <f t="shared" si="16"/>
        <v>204953.1</v>
      </c>
      <c r="R76" s="145">
        <f t="shared" si="16"/>
        <v>274832.68</v>
      </c>
      <c r="S76" s="145">
        <f>S5+S6+S7+S8+S11+S16+S17+S24+S30+S44+S55+S73-S74-S75</f>
        <v>128402.28</v>
      </c>
      <c r="T76" s="27">
        <f>T5+T6+T7+T8+T11+T16+T17+T24+T30+T44+T55+T72+T73-T74</f>
        <v>2760212.5999999996</v>
      </c>
      <c r="U76" s="27">
        <f>U5+U6+U7+U8+U11+U16+U17+U24+U30+U44+U55+U72+U73-U74-U75</f>
        <v>521400.93999999994</v>
      </c>
    </row>
    <row r="77" spans="1:21" s="11" customFormat="1" ht="11.25" x14ac:dyDescent="0.2">
      <c r="G77" s="160"/>
      <c r="H77" s="160"/>
      <c r="I77" s="160"/>
      <c r="J77" s="160"/>
      <c r="K77" s="160"/>
      <c r="R77" s="160"/>
    </row>
    <row r="78" spans="1:21" x14ac:dyDescent="0.2">
      <c r="A78" s="161" t="s">
        <v>31</v>
      </c>
      <c r="B78" s="161"/>
      <c r="C78" s="37"/>
      <c r="D78" s="1">
        <v>24860</v>
      </c>
      <c r="E78" s="2" t="s">
        <v>32</v>
      </c>
      <c r="F78" s="158"/>
      <c r="T78" s="158"/>
    </row>
    <row r="79" spans="1:21" s="11" customFormat="1" ht="11.25" x14ac:dyDescent="0.2">
      <c r="G79" s="159"/>
    </row>
    <row r="80" spans="1:21" x14ac:dyDescent="0.2">
      <c r="A80" s="197" t="s">
        <v>145</v>
      </c>
      <c r="B80" s="197"/>
      <c r="C80" s="36"/>
      <c r="F80" s="158"/>
      <c r="H80" s="158"/>
    </row>
    <row r="81" spans="1:5" x14ac:dyDescent="0.2">
      <c r="A81" s="197" t="s">
        <v>33</v>
      </c>
      <c r="B81" s="197"/>
      <c r="C81" s="36"/>
      <c r="D81" s="38">
        <f>D76/D78</f>
        <v>11.000313555913113</v>
      </c>
      <c r="E81" s="2" t="s">
        <v>34</v>
      </c>
    </row>
  </sheetData>
  <sheetProtection password="DC7D" sheet="1" selectLockedCells="1" selectUnlockedCells="1"/>
  <mergeCells count="9">
    <mergeCell ref="U3:U4"/>
    <mergeCell ref="A80:B80"/>
    <mergeCell ref="A81:B81"/>
    <mergeCell ref="F3:R3"/>
    <mergeCell ref="T3:T4"/>
    <mergeCell ref="A1:E1"/>
    <mergeCell ref="A2:E2"/>
    <mergeCell ref="A3:E3"/>
    <mergeCell ref="A76:B76"/>
  </mergeCells>
  <phoneticPr fontId="4" type="noConversion"/>
  <pageMargins left="0.39370078740157483" right="0.19685039370078741" top="0.19685039370078741" bottom="0.19685039370078741" header="0.51181102362204722" footer="0.51181102362204722"/>
  <pageSetup paperSize="9" scale="57" firstPageNumber="0" orientation="landscape" horizontalDpi="300" verticalDpi="300" r:id="rId1"/>
  <headerFooter alignWithMargins="0"/>
  <ignoredErrors>
    <ignoredError sqref="G55:H55 E55 H13" formulaRange="1"/>
    <ignoredError sqref="A14:A15 A21:A23 A68:A71 A43" twoDigitTextYear="1"/>
    <ignoredError sqref="D7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8" sqref="E18"/>
    </sheetView>
  </sheetViews>
  <sheetFormatPr defaultRowHeight="12.75" x14ac:dyDescent="0.2"/>
  <cols>
    <col min="2" max="2" width="11.140625" customWidth="1"/>
    <col min="3" max="5" width="13.85546875" customWidth="1"/>
    <col min="6" max="6" width="15.140625" customWidth="1"/>
    <col min="7" max="7" width="10.7109375" customWidth="1"/>
  </cols>
  <sheetData>
    <row r="1" spans="1:7" ht="31.9" customHeight="1" x14ac:dyDescent="0.2">
      <c r="A1" s="204" t="s">
        <v>117</v>
      </c>
      <c r="B1" s="204"/>
      <c r="C1" s="204"/>
      <c r="D1" s="204"/>
      <c r="E1" s="204"/>
      <c r="F1" s="204"/>
      <c r="G1" s="204"/>
    </row>
    <row r="3" spans="1:7" ht="15" customHeight="1" x14ac:dyDescent="0.2">
      <c r="A3" s="96" t="s">
        <v>124</v>
      </c>
      <c r="B3" s="97"/>
      <c r="C3" s="98">
        <v>40909</v>
      </c>
      <c r="D3" s="98" t="s">
        <v>129</v>
      </c>
      <c r="E3" s="98" t="s">
        <v>130</v>
      </c>
      <c r="F3" s="98">
        <v>41060</v>
      </c>
      <c r="G3" s="97" t="s">
        <v>128</v>
      </c>
    </row>
    <row r="4" spans="1:7" ht="15" customHeight="1" x14ac:dyDescent="0.2">
      <c r="A4" s="97" t="s">
        <v>118</v>
      </c>
      <c r="B4" s="97">
        <v>137</v>
      </c>
      <c r="C4" s="97">
        <v>1123214.58</v>
      </c>
      <c r="D4" s="97">
        <v>7634028.0300000003</v>
      </c>
      <c r="E4" s="97">
        <v>8505543.3800000008</v>
      </c>
      <c r="F4" s="97">
        <f>C4+D4-E4</f>
        <v>251699.22999999858</v>
      </c>
      <c r="G4" s="97"/>
    </row>
    <row r="5" spans="1:7" ht="15" customHeight="1" x14ac:dyDescent="0.2">
      <c r="A5" s="97"/>
      <c r="B5" s="97">
        <v>167</v>
      </c>
      <c r="C5" s="97">
        <v>186263.51</v>
      </c>
      <c r="D5" s="97">
        <v>3765582.44</v>
      </c>
      <c r="E5" s="97">
        <v>3019930</v>
      </c>
      <c r="F5" s="97">
        <f>C5+D5-E5</f>
        <v>931915.95000000019</v>
      </c>
      <c r="G5" s="97"/>
    </row>
    <row r="6" spans="1:7" ht="15" customHeight="1" x14ac:dyDescent="0.2">
      <c r="A6" s="97" t="s">
        <v>125</v>
      </c>
      <c r="B6" s="97"/>
      <c r="C6" s="96">
        <f>SUM(C4:C5)</f>
        <v>1309478.0900000001</v>
      </c>
      <c r="D6" s="96">
        <f>SUM(D4:D5)</f>
        <v>11399610.470000001</v>
      </c>
      <c r="E6" s="96">
        <f>SUM(E4:E5)</f>
        <v>11525473.380000001</v>
      </c>
      <c r="F6" s="96">
        <f>SUM(F4:F5)</f>
        <v>1183615.1799999988</v>
      </c>
      <c r="G6" s="97"/>
    </row>
    <row r="7" spans="1:7" ht="15" customHeight="1" x14ac:dyDescent="0.2">
      <c r="A7" s="97" t="s">
        <v>119</v>
      </c>
      <c r="B7" s="97">
        <v>137</v>
      </c>
      <c r="C7" s="97">
        <f>28997.24-24121.32</f>
        <v>4875.9200000000019</v>
      </c>
      <c r="D7" s="97">
        <f>8106143.5-28149.34</f>
        <v>8077994.1600000001</v>
      </c>
      <c r="E7" s="97">
        <f>8106991.4-24121.32</f>
        <v>8082870.0800000001</v>
      </c>
      <c r="F7" s="97">
        <v>0</v>
      </c>
      <c r="G7" s="97"/>
    </row>
    <row r="8" spans="1:7" ht="15" customHeight="1" x14ac:dyDescent="0.2">
      <c r="A8" s="97"/>
      <c r="B8" s="97">
        <v>167</v>
      </c>
      <c r="C8" s="97">
        <v>24121.32</v>
      </c>
      <c r="D8" s="97">
        <f>F8</f>
        <v>28149.34</v>
      </c>
      <c r="E8" s="97">
        <f>C8</f>
        <v>24121.32</v>
      </c>
      <c r="F8" s="97">
        <v>28149.34</v>
      </c>
      <c r="G8" s="97"/>
    </row>
    <row r="9" spans="1:7" ht="15" customHeight="1" x14ac:dyDescent="0.2">
      <c r="A9" s="97" t="s">
        <v>126</v>
      </c>
      <c r="B9" s="97"/>
      <c r="C9" s="96">
        <f>SUM(C7:C8)</f>
        <v>28997.24</v>
      </c>
      <c r="D9" s="96">
        <f>SUM(D7:D8)</f>
        <v>8106143.5</v>
      </c>
      <c r="E9" s="96">
        <f>SUM(E7:E8)</f>
        <v>8106991.4000000004</v>
      </c>
      <c r="F9" s="96">
        <f>SUM(F7:F8)</f>
        <v>28149.34</v>
      </c>
      <c r="G9" s="97"/>
    </row>
    <row r="10" spans="1:7" ht="15" customHeight="1" x14ac:dyDescent="0.2">
      <c r="A10" s="97" t="s">
        <v>120</v>
      </c>
      <c r="B10" s="97"/>
      <c r="C10" s="96"/>
      <c r="D10" s="96">
        <v>1046808.4</v>
      </c>
      <c r="E10" s="96">
        <v>1031176.19</v>
      </c>
      <c r="F10" s="97">
        <f>C10+D10-E10</f>
        <v>15632.210000000079</v>
      </c>
      <c r="G10" s="97"/>
    </row>
    <row r="11" spans="1:7" ht="15" customHeight="1" x14ac:dyDescent="0.2">
      <c r="A11" s="97"/>
      <c r="B11" s="97"/>
      <c r="C11" s="97"/>
      <c r="D11" s="97"/>
      <c r="E11" s="97"/>
      <c r="F11" s="97"/>
      <c r="G11" s="97"/>
    </row>
    <row r="12" spans="1:7" ht="15" customHeight="1" x14ac:dyDescent="0.2">
      <c r="A12" s="96" t="s">
        <v>121</v>
      </c>
      <c r="B12" s="97"/>
      <c r="C12" s="157">
        <v>40906</v>
      </c>
      <c r="D12" s="97" t="s">
        <v>131</v>
      </c>
      <c r="E12" s="97" t="s">
        <v>132</v>
      </c>
      <c r="F12" s="97"/>
      <c r="G12" s="97"/>
    </row>
    <row r="13" spans="1:7" ht="15" customHeight="1" x14ac:dyDescent="0.2">
      <c r="A13" s="97" t="s">
        <v>122</v>
      </c>
      <c r="B13" s="97">
        <v>137</v>
      </c>
      <c r="C13" s="97">
        <v>-383654.05</v>
      </c>
      <c r="D13">
        <v>7103474.9100000001</v>
      </c>
      <c r="E13" s="97">
        <v>7317760.5199999996</v>
      </c>
      <c r="F13" s="97">
        <f>C13-E13+D13</f>
        <v>-597939.65999999922</v>
      </c>
      <c r="G13" s="97"/>
    </row>
    <row r="14" spans="1:7" ht="15" customHeight="1" x14ac:dyDescent="0.2">
      <c r="A14" s="97"/>
      <c r="B14" s="97">
        <v>167</v>
      </c>
      <c r="C14" s="97"/>
      <c r="D14" s="97"/>
      <c r="E14" s="97"/>
      <c r="F14" s="97">
        <f>C14+E14-D14</f>
        <v>0</v>
      </c>
      <c r="G14" s="97"/>
    </row>
    <row r="15" spans="1:7" ht="15" customHeight="1" x14ac:dyDescent="0.2">
      <c r="A15" s="97" t="s">
        <v>133</v>
      </c>
      <c r="B15" s="97"/>
      <c r="C15" s="96">
        <f>SUM(C13:C14)</f>
        <v>-383654.05</v>
      </c>
      <c r="D15" s="96">
        <f>SUM(D13:D14)</f>
        <v>7103474.9100000001</v>
      </c>
      <c r="E15" s="96">
        <f>SUM(E13:E14)</f>
        <v>7317760.5199999996</v>
      </c>
      <c r="F15" s="96">
        <f>SUM(F13:F14)</f>
        <v>-597939.65999999922</v>
      </c>
      <c r="G15" s="97"/>
    </row>
    <row r="16" spans="1:7" ht="15" customHeight="1" x14ac:dyDescent="0.2">
      <c r="A16" s="97"/>
      <c r="B16" s="97"/>
      <c r="C16" s="96"/>
      <c r="D16" s="96" t="s">
        <v>132</v>
      </c>
      <c r="E16" s="96" t="s">
        <v>134</v>
      </c>
      <c r="F16" s="96"/>
      <c r="G16" s="97"/>
    </row>
    <row r="17" spans="1:7" ht="15" customHeight="1" x14ac:dyDescent="0.2">
      <c r="A17" s="97" t="s">
        <v>123</v>
      </c>
      <c r="B17" s="97"/>
      <c r="C17" s="97">
        <f>-1848.21-2500-1200</f>
        <v>-5548.21</v>
      </c>
      <c r="D17">
        <f>5047445.47+353676.61-944914.93-158495.7-2491075.6-1249473.85-135464</f>
        <v>421698</v>
      </c>
      <c r="E17" s="97">
        <f>5535987.41+353676.61-943382.72-147689-2957923.92-1286505.27-132500</f>
        <v>421663.1100000008</v>
      </c>
      <c r="F17" s="97">
        <f>C17-D17+E17</f>
        <v>-5583.09999999922</v>
      </c>
      <c r="G17" s="97"/>
    </row>
    <row r="18" spans="1:7" ht="15" customHeight="1" x14ac:dyDescent="0.2">
      <c r="A18" s="97" t="s">
        <v>127</v>
      </c>
      <c r="B18" s="97"/>
      <c r="C18" s="96">
        <f>C15+C17</f>
        <v>-389202.26</v>
      </c>
      <c r="D18" s="96"/>
      <c r="E18" s="96"/>
      <c r="F18" s="96">
        <f>F15+F17</f>
        <v>-603522.75999999838</v>
      </c>
      <c r="G18" s="97"/>
    </row>
    <row r="19" spans="1:7" ht="15" customHeight="1" x14ac:dyDescent="0.2">
      <c r="A19" s="97"/>
      <c r="B19" s="97"/>
      <c r="C19" s="96"/>
      <c r="D19" s="96"/>
      <c r="E19" s="96"/>
      <c r="F19" s="96"/>
      <c r="G19" s="96"/>
    </row>
  </sheetData>
  <mergeCells count="1">
    <mergeCell ref="A1:G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4" sqref="L4"/>
    </sheetView>
  </sheetViews>
  <sheetFormatPr defaultRowHeight="12.75" x14ac:dyDescent="0.2"/>
  <cols>
    <col min="2" max="2" width="11.140625" customWidth="1"/>
    <col min="3" max="5" width="13.85546875" customWidth="1"/>
    <col min="6" max="6" width="15.140625" customWidth="1"/>
    <col min="7" max="7" width="10.7109375" customWidth="1"/>
  </cols>
  <sheetData>
    <row r="1" spans="1:12" ht="31.9" customHeight="1" x14ac:dyDescent="0.2">
      <c r="A1" s="204" t="s">
        <v>117</v>
      </c>
      <c r="B1" s="204"/>
      <c r="C1" s="204"/>
      <c r="D1" s="204"/>
      <c r="E1" s="204"/>
      <c r="F1" s="204"/>
      <c r="G1" s="204"/>
    </row>
    <row r="3" spans="1:12" ht="15" customHeight="1" x14ac:dyDescent="0.2">
      <c r="A3" s="96" t="s">
        <v>124</v>
      </c>
      <c r="B3" s="97"/>
      <c r="C3" s="98">
        <v>40909</v>
      </c>
      <c r="D3" s="98" t="s">
        <v>129</v>
      </c>
      <c r="E3" s="98" t="s">
        <v>130</v>
      </c>
      <c r="F3" s="98">
        <v>41060</v>
      </c>
      <c r="G3" s="97" t="s">
        <v>128</v>
      </c>
      <c r="K3">
        <v>8505543.3800000008</v>
      </c>
      <c r="L3">
        <v>514020</v>
      </c>
    </row>
    <row r="4" spans="1:12" ht="15" customHeight="1" x14ac:dyDescent="0.2">
      <c r="A4" s="97" t="s">
        <v>118</v>
      </c>
      <c r="B4" s="97">
        <v>137</v>
      </c>
      <c r="C4" s="97">
        <v>1123214.58</v>
      </c>
      <c r="D4" s="97">
        <v>7634028.0300000003</v>
      </c>
      <c r="E4" s="97">
        <v>8505543.3800000008</v>
      </c>
      <c r="F4" s="97">
        <f>C4+D4-E4</f>
        <v>251699.22999999858</v>
      </c>
      <c r="G4" s="97"/>
      <c r="K4">
        <v>15000</v>
      </c>
      <c r="L4">
        <v>5187811.91</v>
      </c>
    </row>
    <row r="5" spans="1:12" ht="15" customHeight="1" x14ac:dyDescent="0.2">
      <c r="A5" s="97"/>
      <c r="B5" s="97">
        <v>167</v>
      </c>
      <c r="C5" s="97">
        <v>186263.51</v>
      </c>
      <c r="D5" s="97">
        <v>3765582.44</v>
      </c>
      <c r="E5" s="97">
        <f>3019930+500+530</f>
        <v>3020960</v>
      </c>
      <c r="F5" s="97">
        <f>C5+D5-E5</f>
        <v>930885.95000000019</v>
      </c>
      <c r="G5" s="97"/>
      <c r="K5">
        <v>371138</v>
      </c>
      <c r="L5">
        <v>2450</v>
      </c>
    </row>
    <row r="6" spans="1:12" ht="15" customHeight="1" x14ac:dyDescent="0.2">
      <c r="A6" s="97" t="s">
        <v>125</v>
      </c>
      <c r="B6" s="97"/>
      <c r="C6" s="96">
        <f>SUM(C4:C5)</f>
        <v>1309478.0900000001</v>
      </c>
      <c r="D6" s="96">
        <f>SUM(D4:D5)</f>
        <v>11399610.470000001</v>
      </c>
      <c r="E6" s="96">
        <f>SUM(E4:E5)</f>
        <v>11526503.380000001</v>
      </c>
      <c r="F6" s="96">
        <f>SUM(F4:F5)</f>
        <v>1182585.1799999988</v>
      </c>
      <c r="G6" s="97"/>
      <c r="K6">
        <v>46788.4</v>
      </c>
      <c r="L6">
        <v>18900</v>
      </c>
    </row>
    <row r="7" spans="1:12" ht="15" customHeight="1" x14ac:dyDescent="0.2">
      <c r="A7" s="97" t="s">
        <v>119</v>
      </c>
      <c r="B7" s="97">
        <v>137</v>
      </c>
      <c r="C7" s="97">
        <f>28997.24-24121.32</f>
        <v>4875.9200000000019</v>
      </c>
      <c r="D7" s="97">
        <f>8106143.5-28149.34</f>
        <v>8077994.1600000001</v>
      </c>
      <c r="E7" s="97">
        <f>8106991.4-24121.32</f>
        <v>8082870.0800000001</v>
      </c>
      <c r="F7" s="97">
        <v>0</v>
      </c>
      <c r="G7" s="97"/>
      <c r="K7">
        <v>22900</v>
      </c>
      <c r="L7">
        <v>34976</v>
      </c>
    </row>
    <row r="8" spans="1:12" ht="15" customHeight="1" x14ac:dyDescent="0.2">
      <c r="A8" s="97"/>
      <c r="B8" s="97">
        <v>167</v>
      </c>
      <c r="C8" s="97">
        <v>24121.32</v>
      </c>
      <c r="D8" s="97">
        <f>F8</f>
        <v>28149.34</v>
      </c>
      <c r="E8" s="97">
        <f>C8</f>
        <v>24121.32</v>
      </c>
      <c r="F8" s="97">
        <v>28149.34</v>
      </c>
      <c r="G8" s="97"/>
      <c r="K8">
        <v>20960</v>
      </c>
      <c r="L8">
        <v>1108499</v>
      </c>
    </row>
    <row r="9" spans="1:12" ht="15" customHeight="1" x14ac:dyDescent="0.2">
      <c r="A9" s="97" t="s">
        <v>126</v>
      </c>
      <c r="B9" s="97"/>
      <c r="C9" s="96">
        <f>SUM(C7:C8)</f>
        <v>28997.24</v>
      </c>
      <c r="D9" s="96">
        <f>SUM(D7:D8)</f>
        <v>8106143.5</v>
      </c>
      <c r="E9" s="96">
        <f>SUM(E7:E8)</f>
        <v>8106991.4000000004</v>
      </c>
      <c r="F9" s="96">
        <f>SUM(F7:F8)</f>
        <v>28149.34</v>
      </c>
      <c r="G9" s="97"/>
      <c r="K9">
        <f>SUM(K3:K8)</f>
        <v>8982329.7800000012</v>
      </c>
      <c r="L9">
        <f>SUM(L3:L8)</f>
        <v>6866656.9100000001</v>
      </c>
    </row>
    <row r="10" spans="1:12" ht="15" customHeight="1" x14ac:dyDescent="0.2">
      <c r="A10" s="97" t="s">
        <v>120</v>
      </c>
      <c r="B10" s="97"/>
      <c r="C10" s="96"/>
      <c r="D10" s="96">
        <v>1046808.4</v>
      </c>
      <c r="E10" s="96">
        <v>1031176.19</v>
      </c>
      <c r="F10" s="97">
        <f>C10+D10-E10</f>
        <v>15632.210000000079</v>
      </c>
      <c r="G10" s="97"/>
    </row>
    <row r="11" spans="1:12" ht="15" customHeight="1" x14ac:dyDescent="0.2">
      <c r="A11" s="97"/>
      <c r="B11" s="97"/>
      <c r="C11" s="97"/>
      <c r="D11" s="97"/>
      <c r="E11" s="97"/>
      <c r="F11" s="97"/>
      <c r="G11" s="97"/>
    </row>
    <row r="12" spans="1:12" ht="15" customHeight="1" x14ac:dyDescent="0.2">
      <c r="A12" s="96" t="s">
        <v>121</v>
      </c>
      <c r="B12" s="97"/>
      <c r="C12" s="157">
        <v>40906</v>
      </c>
      <c r="D12" s="97" t="s">
        <v>131</v>
      </c>
      <c r="E12" s="97" t="s">
        <v>132</v>
      </c>
      <c r="F12" s="97"/>
      <c r="G12" s="97"/>
    </row>
    <row r="13" spans="1:12" ht="15" customHeight="1" x14ac:dyDescent="0.2">
      <c r="A13" s="97" t="s">
        <v>122</v>
      </c>
      <c r="B13" s="97">
        <v>137</v>
      </c>
      <c r="C13" s="97">
        <v>-383654.05</v>
      </c>
      <c r="D13">
        <v>7103474.9100000001</v>
      </c>
      <c r="E13" s="97">
        <v>7317760.5199999996</v>
      </c>
      <c r="F13" s="97">
        <f>C13-E13+D13</f>
        <v>-597939.65999999922</v>
      </c>
      <c r="G13" s="97"/>
    </row>
    <row r="14" spans="1:12" ht="15" customHeight="1" x14ac:dyDescent="0.2">
      <c r="A14" s="97"/>
      <c r="B14" s="97">
        <v>167</v>
      </c>
      <c r="C14" s="97"/>
      <c r="D14" s="97"/>
      <c r="E14" s="97"/>
      <c r="F14" s="97">
        <f>C14+E14-D14</f>
        <v>0</v>
      </c>
      <c r="G14" s="97"/>
    </row>
    <row r="15" spans="1:12" ht="15" customHeight="1" x14ac:dyDescent="0.2">
      <c r="A15" s="97" t="s">
        <v>133</v>
      </c>
      <c r="B15" s="97"/>
      <c r="C15" s="96">
        <f>SUM(C13:C14)</f>
        <v>-383654.05</v>
      </c>
      <c r="D15" s="96">
        <f>SUM(D13:D14)</f>
        <v>7103474.9100000001</v>
      </c>
      <c r="E15" s="96">
        <f>SUM(E13:E14)</f>
        <v>7317760.5199999996</v>
      </c>
      <c r="F15" s="96">
        <f>SUM(F13:F14)</f>
        <v>-597939.65999999922</v>
      </c>
      <c r="G15" s="97"/>
    </row>
    <row r="16" spans="1:12" ht="15" customHeight="1" x14ac:dyDescent="0.2">
      <c r="A16" s="97"/>
      <c r="B16" s="97"/>
      <c r="C16" s="96"/>
      <c r="D16" s="96" t="s">
        <v>132</v>
      </c>
      <c r="E16" s="96" t="s">
        <v>134</v>
      </c>
      <c r="F16" s="96"/>
      <c r="G16" s="97"/>
    </row>
    <row r="17" spans="1:7" ht="15" customHeight="1" x14ac:dyDescent="0.2">
      <c r="A17" s="97" t="s">
        <v>123</v>
      </c>
      <c r="B17" s="97"/>
      <c r="C17" s="97">
        <v>-1086914.6200000001</v>
      </c>
      <c r="D17">
        <f>5047445.47+353676.61</f>
        <v>5401122.0800000001</v>
      </c>
      <c r="E17" s="97">
        <f>5535987.41+353676.61-1533.83</f>
        <v>5888130.1900000004</v>
      </c>
      <c r="F17" s="97">
        <f>C17-D17+E17</f>
        <v>-599906.50999999978</v>
      </c>
      <c r="G17" s="97"/>
    </row>
    <row r="18" spans="1:7" ht="15" customHeight="1" x14ac:dyDescent="0.2">
      <c r="A18" s="97" t="s">
        <v>127</v>
      </c>
      <c r="B18" s="97"/>
      <c r="C18" s="96">
        <f>C15+C17</f>
        <v>-1470568.6700000002</v>
      </c>
      <c r="D18" s="96"/>
      <c r="E18" s="96"/>
      <c r="F18" s="96">
        <f>F15+F17</f>
        <v>-1197846.169999999</v>
      </c>
      <c r="G18" s="97"/>
    </row>
    <row r="19" spans="1:7" ht="15" customHeight="1" x14ac:dyDescent="0.2">
      <c r="A19" s="97"/>
      <c r="B19" s="97"/>
      <c r="C19" s="96"/>
      <c r="D19" s="96"/>
      <c r="E19" s="96"/>
      <c r="F19" s="96"/>
      <c r="G19" s="96"/>
    </row>
  </sheetData>
  <mergeCells count="1">
    <mergeCell ref="A1:G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5" width="12.42578125" customWidth="1"/>
  </cols>
  <sheetData>
    <row r="1" spans="2:5" ht="25.5" x14ac:dyDescent="0.2">
      <c r="B1" s="146" t="s">
        <v>152</v>
      </c>
      <c r="C1" s="147"/>
      <c r="D1" s="152"/>
      <c r="E1" s="152"/>
    </row>
    <row r="2" spans="2:5" x14ac:dyDescent="0.2">
      <c r="B2" s="146" t="s">
        <v>153</v>
      </c>
      <c r="C2" s="147"/>
      <c r="D2" s="152"/>
      <c r="E2" s="152"/>
    </row>
    <row r="3" spans="2:5" x14ac:dyDescent="0.2">
      <c r="B3" s="148"/>
      <c r="C3" s="148"/>
      <c r="D3" s="153"/>
      <c r="E3" s="153"/>
    </row>
    <row r="4" spans="2:5" ht="51" x14ac:dyDescent="0.2">
      <c r="B4" s="149" t="s">
        <v>154</v>
      </c>
      <c r="C4" s="148"/>
      <c r="D4" s="153"/>
      <c r="E4" s="153"/>
    </row>
    <row r="5" spans="2:5" x14ac:dyDescent="0.2">
      <c r="B5" s="148"/>
      <c r="C5" s="148"/>
      <c r="D5" s="153"/>
      <c r="E5" s="153"/>
    </row>
    <row r="6" spans="2:5" ht="38.25" x14ac:dyDescent="0.2">
      <c r="B6" s="146" t="s">
        <v>155</v>
      </c>
      <c r="C6" s="147"/>
      <c r="D6" s="152"/>
      <c r="E6" s="154" t="s">
        <v>156</v>
      </c>
    </row>
    <row r="7" spans="2:5" ht="13.5" thickBot="1" x14ac:dyDescent="0.25">
      <c r="B7" s="148"/>
      <c r="C7" s="148"/>
      <c r="D7" s="153"/>
      <c r="E7" s="153"/>
    </row>
    <row r="8" spans="2:5" ht="51.75" thickBot="1" x14ac:dyDescent="0.25">
      <c r="B8" s="150" t="s">
        <v>157</v>
      </c>
      <c r="C8" s="151"/>
      <c r="D8" s="155"/>
      <c r="E8" s="156">
        <v>2</v>
      </c>
    </row>
    <row r="9" spans="2:5" x14ac:dyDescent="0.2">
      <c r="B9" s="148"/>
      <c r="C9" s="148"/>
      <c r="D9" s="153"/>
      <c r="E9" s="153"/>
    </row>
    <row r="10" spans="2:5" x14ac:dyDescent="0.2">
      <c r="B10" s="148"/>
      <c r="C10" s="148"/>
      <c r="D10" s="153"/>
      <c r="E10" s="15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</vt:lpstr>
      <vt:lpstr>Без поставщиков</vt:lpstr>
      <vt:lpstr>Общий</vt:lpstr>
      <vt:lpstr>Отчет о совместимости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Sergey Lyashenko</cp:lastModifiedBy>
  <cp:lastPrinted>2013-01-20T18:23:19Z</cp:lastPrinted>
  <dcterms:created xsi:type="dcterms:W3CDTF">2010-12-02T20:37:32Z</dcterms:created>
  <dcterms:modified xsi:type="dcterms:W3CDTF">2013-01-24T04:27:55Z</dcterms:modified>
</cp:coreProperties>
</file>