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576" windowHeight="8196"/>
  </bookViews>
  <sheets>
    <sheet name="Смета" sheetId="1" r:id="rId1"/>
    <sheet name="фин отчет" sheetId="4" r:id="rId2"/>
    <sheet name="Лист2" sheetId="2" r:id="rId3"/>
    <sheet name="январь" sheetId="3" r:id="rId4"/>
  </sheets>
  <definedNames>
    <definedName name="_xlnm.Print_Area" localSheetId="0">Смета!$A$1:$U$86</definedName>
  </definedNames>
  <calcPr calcId="125725" refMode="R1C1"/>
</workbook>
</file>

<file path=xl/calcChain.xml><?xml version="1.0" encoding="utf-8"?>
<calcChain xmlns="http://schemas.openxmlformats.org/spreadsheetml/2006/main">
  <c r="T80" i="1"/>
  <c r="U80" s="1"/>
  <c r="T79"/>
  <c r="U79" s="1"/>
  <c r="T77"/>
  <c r="U77" s="1"/>
  <c r="T16"/>
  <c r="U16" s="1"/>
  <c r="T7"/>
  <c r="T5"/>
  <c r="E49"/>
  <c r="D49" s="1"/>
  <c r="C49" s="1"/>
  <c r="E34"/>
  <c r="E20"/>
  <c r="D20" s="1"/>
  <c r="C20" s="1"/>
  <c r="E8"/>
  <c r="D8" s="1"/>
  <c r="C8" s="1"/>
  <c r="S51"/>
  <c r="T35"/>
  <c r="U35" s="1"/>
  <c r="T39"/>
  <c r="U39" s="1"/>
  <c r="T40"/>
  <c r="U40" s="1"/>
  <c r="T41"/>
  <c r="U41" s="1"/>
  <c r="T42"/>
  <c r="U42" s="1"/>
  <c r="T43"/>
  <c r="U43" s="1"/>
  <c r="T45"/>
  <c r="U45" s="1"/>
  <c r="T46"/>
  <c r="U46" s="1"/>
  <c r="T38"/>
  <c r="U38" s="1"/>
  <c r="T37"/>
  <c r="U37" s="1"/>
  <c r="T36"/>
  <c r="U36" s="1"/>
  <c r="T33"/>
  <c r="U33" s="1"/>
  <c r="T31"/>
  <c r="U31" s="1"/>
  <c r="O27"/>
  <c r="O20" s="1"/>
  <c r="C10" i="4"/>
  <c r="D7"/>
  <c r="D8"/>
  <c r="F8"/>
  <c r="F9"/>
  <c r="F7"/>
  <c r="C5"/>
  <c r="F5"/>
  <c r="F6"/>
  <c r="E5"/>
  <c r="D5"/>
  <c r="D6"/>
  <c r="C7" i="2"/>
  <c r="C9"/>
  <c r="D7"/>
  <c r="E7"/>
  <c r="E14" i="4"/>
  <c r="F14"/>
  <c r="F15"/>
  <c r="F18"/>
  <c r="F17"/>
  <c r="C15"/>
  <c r="C18"/>
  <c r="D15"/>
  <c r="D18"/>
  <c r="F10"/>
  <c r="E9"/>
  <c r="D9"/>
  <c r="C19"/>
  <c r="E6"/>
  <c r="C6"/>
  <c r="F4"/>
  <c r="F19"/>
  <c r="R18" i="1"/>
  <c r="R57"/>
  <c r="R51"/>
  <c r="C1" i="3"/>
  <c r="D1"/>
  <c r="D10"/>
  <c r="G10"/>
  <c r="B4"/>
  <c r="D4"/>
  <c r="B10"/>
  <c r="F10"/>
  <c r="F4" i="2"/>
  <c r="F6"/>
  <c r="F5"/>
  <c r="C6"/>
  <c r="D6"/>
  <c r="E6"/>
  <c r="D9"/>
  <c r="E9"/>
  <c r="F10"/>
  <c r="D13"/>
  <c r="D15"/>
  <c r="D18"/>
  <c r="E13"/>
  <c r="E15"/>
  <c r="D14"/>
  <c r="F14"/>
  <c r="C15"/>
  <c r="C18"/>
  <c r="F17"/>
  <c r="C19"/>
  <c r="D5" i="1"/>
  <c r="C5" s="1"/>
  <c r="H5"/>
  <c r="J5"/>
  <c r="J6" s="1"/>
  <c r="L5"/>
  <c r="M5"/>
  <c r="M6" s="1"/>
  <c r="N5"/>
  <c r="Q5"/>
  <c r="Q6"/>
  <c r="R5"/>
  <c r="R6" s="1"/>
  <c r="D6"/>
  <c r="C6" s="1"/>
  <c r="F6"/>
  <c r="G6"/>
  <c r="I6"/>
  <c r="K6"/>
  <c r="L6"/>
  <c r="N6"/>
  <c r="O6"/>
  <c r="P6"/>
  <c r="D7"/>
  <c r="C7" s="1"/>
  <c r="H7"/>
  <c r="F8"/>
  <c r="G8"/>
  <c r="J8"/>
  <c r="K8"/>
  <c r="L8"/>
  <c r="N8"/>
  <c r="P8"/>
  <c r="Q8"/>
  <c r="S8"/>
  <c r="D9"/>
  <c r="C9" s="1"/>
  <c r="H9"/>
  <c r="T9" s="1"/>
  <c r="U9" s="1"/>
  <c r="I9"/>
  <c r="I8" s="1"/>
  <c r="R9"/>
  <c r="R8" s="1"/>
  <c r="D10"/>
  <c r="C10" s="1"/>
  <c r="M10"/>
  <c r="M8" s="1"/>
  <c r="O10"/>
  <c r="O8" s="1"/>
  <c r="D12"/>
  <c r="C12" s="1"/>
  <c r="T12"/>
  <c r="U12" s="1"/>
  <c r="D13"/>
  <c r="C13" s="1"/>
  <c r="F13"/>
  <c r="F11" s="1"/>
  <c r="G13"/>
  <c r="G11" s="1"/>
  <c r="H13"/>
  <c r="H11" s="1"/>
  <c r="J13"/>
  <c r="J11" s="1"/>
  <c r="K13"/>
  <c r="K11" s="1"/>
  <c r="L13"/>
  <c r="L11" s="1"/>
  <c r="M13"/>
  <c r="M11" s="1"/>
  <c r="N13"/>
  <c r="N11" s="1"/>
  <c r="O13"/>
  <c r="O11" s="1"/>
  <c r="P13"/>
  <c r="P11" s="1"/>
  <c r="Q13"/>
  <c r="Q11" s="1"/>
  <c r="R13"/>
  <c r="R11" s="1"/>
  <c r="S13"/>
  <c r="S11" s="1"/>
  <c r="D14"/>
  <c r="T14"/>
  <c r="U14" s="1"/>
  <c r="D15"/>
  <c r="I15"/>
  <c r="I13" s="1"/>
  <c r="T15"/>
  <c r="U15" s="1"/>
  <c r="D16"/>
  <c r="C16" s="1"/>
  <c r="D18"/>
  <c r="C18" s="1"/>
  <c r="G18"/>
  <c r="T18" s="1"/>
  <c r="U18" s="1"/>
  <c r="K18"/>
  <c r="D19"/>
  <c r="C19" s="1"/>
  <c r="K19"/>
  <c r="T19" s="1"/>
  <c r="U19" s="1"/>
  <c r="F20"/>
  <c r="F17" s="1"/>
  <c r="G20"/>
  <c r="G17" s="1"/>
  <c r="H20"/>
  <c r="H17" s="1"/>
  <c r="I20"/>
  <c r="I17" s="1"/>
  <c r="J20"/>
  <c r="J17" s="1"/>
  <c r="K20"/>
  <c r="K17" s="1"/>
  <c r="L20"/>
  <c r="L17" s="1"/>
  <c r="M20"/>
  <c r="M17" s="1"/>
  <c r="N20"/>
  <c r="N17" s="1"/>
  <c r="P20"/>
  <c r="P17" s="1"/>
  <c r="Q20"/>
  <c r="Q17" s="1"/>
  <c r="R20"/>
  <c r="S20"/>
  <c r="S17" s="1"/>
  <c r="D21"/>
  <c r="T21"/>
  <c r="U21" s="1"/>
  <c r="D22"/>
  <c r="T22"/>
  <c r="U22" s="1"/>
  <c r="D23"/>
  <c r="T23"/>
  <c r="U23" s="1"/>
  <c r="D24"/>
  <c r="T24"/>
  <c r="U24" s="1"/>
  <c r="D25"/>
  <c r="T25"/>
  <c r="U25" s="1"/>
  <c r="D26"/>
  <c r="T26"/>
  <c r="U26" s="1"/>
  <c r="D27"/>
  <c r="T27"/>
  <c r="U27" s="1"/>
  <c r="E28"/>
  <c r="F28"/>
  <c r="G28"/>
  <c r="J28"/>
  <c r="K28"/>
  <c r="M28"/>
  <c r="O28"/>
  <c r="P28"/>
  <c r="Q28"/>
  <c r="S28"/>
  <c r="D29"/>
  <c r="C29" s="1"/>
  <c r="H29"/>
  <c r="H28" s="1"/>
  <c r="R29"/>
  <c r="R28" s="1"/>
  <c r="D30"/>
  <c r="C30" s="1"/>
  <c r="I30"/>
  <c r="T30" s="1"/>
  <c r="U30" s="1"/>
  <c r="N30"/>
  <c r="R30"/>
  <c r="D31"/>
  <c r="C31" s="1"/>
  <c r="L31"/>
  <c r="L28" s="1"/>
  <c r="N31"/>
  <c r="N28"/>
  <c r="D32"/>
  <c r="C32" s="1"/>
  <c r="L32"/>
  <c r="T32" s="1"/>
  <c r="U32" s="1"/>
  <c r="D33"/>
  <c r="C33" s="1"/>
  <c r="F34"/>
  <c r="G34"/>
  <c r="H34"/>
  <c r="I34"/>
  <c r="J34"/>
  <c r="K34"/>
  <c r="M34"/>
  <c r="N34"/>
  <c r="P34"/>
  <c r="Q34"/>
  <c r="R34"/>
  <c r="S34"/>
  <c r="D35"/>
  <c r="C35" s="1"/>
  <c r="D36"/>
  <c r="C36" s="1"/>
  <c r="D37"/>
  <c r="C37" s="1"/>
  <c r="D38"/>
  <c r="C38" s="1"/>
  <c r="D39"/>
  <c r="C39" s="1"/>
  <c r="D40"/>
  <c r="C40" s="1"/>
  <c r="D41"/>
  <c r="C41" s="1"/>
  <c r="D42"/>
  <c r="C42" s="1"/>
  <c r="D43"/>
  <c r="C43" s="1"/>
  <c r="D44"/>
  <c r="C44" s="1"/>
  <c r="L44"/>
  <c r="L34" s="1"/>
  <c r="O44"/>
  <c r="T44" s="1"/>
  <c r="U44" s="1"/>
  <c r="D45"/>
  <c r="C45" s="1"/>
  <c r="D46"/>
  <c r="C46" s="1"/>
  <c r="D48"/>
  <c r="C48" s="1"/>
  <c r="J48"/>
  <c r="L48"/>
  <c r="M48"/>
  <c r="R48"/>
  <c r="F49"/>
  <c r="H49"/>
  <c r="I49"/>
  <c r="P49"/>
  <c r="R49"/>
  <c r="S49"/>
  <c r="D50"/>
  <c r="T50"/>
  <c r="U50" s="1"/>
  <c r="D51"/>
  <c r="G51"/>
  <c r="G49" s="1"/>
  <c r="J51"/>
  <c r="J49" s="1"/>
  <c r="K51"/>
  <c r="K49"/>
  <c r="L51"/>
  <c r="L49" s="1"/>
  <c r="M51"/>
  <c r="M49" s="1"/>
  <c r="N51"/>
  <c r="N49" s="1"/>
  <c r="O51"/>
  <c r="O49" s="1"/>
  <c r="P51"/>
  <c r="Q51"/>
  <c r="Q49" s="1"/>
  <c r="D52"/>
  <c r="C52" s="1"/>
  <c r="T52"/>
  <c r="U52" s="1"/>
  <c r="D53"/>
  <c r="C53" s="1"/>
  <c r="I53"/>
  <c r="T53" s="1"/>
  <c r="U53" s="1"/>
  <c r="J53"/>
  <c r="D54"/>
  <c r="C54" s="1"/>
  <c r="T54"/>
  <c r="U54" s="1"/>
  <c r="E55"/>
  <c r="F55"/>
  <c r="H55"/>
  <c r="J55"/>
  <c r="K55"/>
  <c r="P55"/>
  <c r="Q55"/>
  <c r="R55"/>
  <c r="S55"/>
  <c r="D56"/>
  <c r="I56"/>
  <c r="I55" s="1"/>
  <c r="D57"/>
  <c r="G57"/>
  <c r="G55" s="1"/>
  <c r="I57"/>
  <c r="T57" s="1"/>
  <c r="U57" s="1"/>
  <c r="L57"/>
  <c r="L55" s="1"/>
  <c r="M57"/>
  <c r="M55" s="1"/>
  <c r="N57"/>
  <c r="N55" s="1"/>
  <c r="O57"/>
  <c r="O55"/>
  <c r="P57"/>
  <c r="D58"/>
  <c r="C58" s="1"/>
  <c r="T58"/>
  <c r="U58" s="1"/>
  <c r="D59"/>
  <c r="C59" s="1"/>
  <c r="T59"/>
  <c r="U59" s="1"/>
  <c r="E60"/>
  <c r="D60" s="1"/>
  <c r="C60" s="1"/>
  <c r="F60"/>
  <c r="G60"/>
  <c r="H60"/>
  <c r="I60"/>
  <c r="K60"/>
  <c r="L60"/>
  <c r="M60"/>
  <c r="N60"/>
  <c r="O60"/>
  <c r="P60"/>
  <c r="Q60"/>
  <c r="R60"/>
  <c r="S60"/>
  <c r="D61"/>
  <c r="C61" s="1"/>
  <c r="T61"/>
  <c r="U61" s="1"/>
  <c r="D62"/>
  <c r="C62" s="1"/>
  <c r="T62"/>
  <c r="U62" s="1"/>
  <c r="D63"/>
  <c r="C63" s="1"/>
  <c r="T63"/>
  <c r="U63" s="1"/>
  <c r="D64"/>
  <c r="C64" s="1"/>
  <c r="T64"/>
  <c r="U64" s="1"/>
  <c r="D65"/>
  <c r="C65" s="1"/>
  <c r="J65"/>
  <c r="D66"/>
  <c r="C66" s="1"/>
  <c r="T66"/>
  <c r="U66" s="1"/>
  <c r="D67"/>
  <c r="C67" s="1"/>
  <c r="T67"/>
  <c r="U67" s="1"/>
  <c r="D68"/>
  <c r="C68" s="1"/>
  <c r="T68"/>
  <c r="U68" s="1"/>
  <c r="D69"/>
  <c r="C69" s="1"/>
  <c r="T69"/>
  <c r="U69" s="1"/>
  <c r="D70"/>
  <c r="C70" s="1"/>
  <c r="T70"/>
  <c r="U70" s="1"/>
  <c r="D71"/>
  <c r="C71" s="1"/>
  <c r="T71"/>
  <c r="U71" s="1"/>
  <c r="D72"/>
  <c r="C72" s="1"/>
  <c r="T72"/>
  <c r="U72" s="1"/>
  <c r="D73"/>
  <c r="C73" s="1"/>
  <c r="J73"/>
  <c r="T73" s="1"/>
  <c r="U73" s="1"/>
  <c r="D74"/>
  <c r="C74" s="1"/>
  <c r="T74"/>
  <c r="U74" s="1"/>
  <c r="D75"/>
  <c r="C75" s="1"/>
  <c r="T75"/>
  <c r="U75" s="1"/>
  <c r="D76"/>
  <c r="C76" s="1"/>
  <c r="T76"/>
  <c r="U76" s="1"/>
  <c r="D77"/>
  <c r="C77" s="1"/>
  <c r="D78"/>
  <c r="C78" s="1"/>
  <c r="T78"/>
  <c r="U78" s="1"/>
  <c r="D79"/>
  <c r="C79" s="1"/>
  <c r="D80"/>
  <c r="C80" s="1"/>
  <c r="C9" i="4"/>
  <c r="F13"/>
  <c r="E15"/>
  <c r="T65" i="1"/>
  <c r="U65" s="1"/>
  <c r="O34"/>
  <c r="H6"/>
  <c r="F19" i="2"/>
  <c r="F13"/>
  <c r="F15"/>
  <c r="F18"/>
  <c r="F7"/>
  <c r="F9"/>
  <c r="T51" i="1"/>
  <c r="U51" s="1"/>
  <c r="E11"/>
  <c r="D11" s="1"/>
  <c r="C11" s="1"/>
  <c r="T34" l="1"/>
  <c r="T6"/>
  <c r="J81"/>
  <c r="U7"/>
  <c r="S47"/>
  <c r="S81" s="1"/>
  <c r="F47"/>
  <c r="P47"/>
  <c r="P81" s="1"/>
  <c r="Q47"/>
  <c r="Q81" s="1"/>
  <c r="R17"/>
  <c r="F81"/>
  <c r="J47"/>
  <c r="R47"/>
  <c r="U6"/>
  <c r="M47"/>
  <c r="M81" s="1"/>
  <c r="E17"/>
  <c r="D17" s="1"/>
  <c r="C17" s="1"/>
  <c r="O47"/>
  <c r="K47"/>
  <c r="K81" s="1"/>
  <c r="H47"/>
  <c r="H81" s="1"/>
  <c r="T13"/>
  <c r="U13" s="1"/>
  <c r="I11"/>
  <c r="T11" s="1"/>
  <c r="U11" s="1"/>
  <c r="T49"/>
  <c r="U49" s="1"/>
  <c r="G47"/>
  <c r="L47"/>
  <c r="L81" s="1"/>
  <c r="I47"/>
  <c r="U34"/>
  <c r="O17"/>
  <c r="T20"/>
  <c r="U20" s="1"/>
  <c r="T55"/>
  <c r="U55" s="1"/>
  <c r="N47"/>
  <c r="N81" s="1"/>
  <c r="T48"/>
  <c r="U48" s="1"/>
  <c r="J60"/>
  <c r="I28"/>
  <c r="U5"/>
  <c r="T56"/>
  <c r="U56" s="1"/>
  <c r="D28"/>
  <c r="C28" s="1"/>
  <c r="T29"/>
  <c r="U29" s="1"/>
  <c r="D55"/>
  <c r="C55" s="1"/>
  <c r="T10"/>
  <c r="U10" s="1"/>
  <c r="H8"/>
  <c r="T8" s="1"/>
  <c r="E47"/>
  <c r="D34"/>
  <c r="C34" s="1"/>
  <c r="R81" l="1"/>
  <c r="T17"/>
  <c r="T47"/>
  <c r="U47" s="1"/>
  <c r="G81"/>
  <c r="T81" s="1"/>
  <c r="E81"/>
  <c r="D81" s="1"/>
  <c r="C81" s="1"/>
  <c r="O81"/>
  <c r="T60"/>
  <c r="U60" s="1"/>
  <c r="T28"/>
  <c r="U28" s="1"/>
  <c r="I81"/>
  <c r="U17"/>
  <c r="D47"/>
  <c r="C47" s="1"/>
  <c r="U8"/>
  <c r="U81" l="1"/>
  <c r="D86"/>
</calcChain>
</file>

<file path=xl/comments1.xml><?xml version="1.0" encoding="utf-8"?>
<comments xmlns="http://schemas.openxmlformats.org/spreadsheetml/2006/main">
  <authors>
    <author>Админ</author>
  </authors>
  <commentList>
    <comment ref="O22" authorId="0">
      <text>
        <r>
          <rPr>
            <b/>
            <sz val="9"/>
            <color indexed="81"/>
            <rFont val="Tahoma"/>
            <charset val="1"/>
          </rPr>
          <t>Админ:</t>
        </r>
        <r>
          <rPr>
            <sz val="9"/>
            <color indexed="81"/>
            <rFont val="Tahoma"/>
            <charset val="1"/>
          </rPr>
          <t xml:space="preserve">
Монитор
</t>
        </r>
      </text>
    </comment>
    <comment ref="G32" authorId="0">
      <text>
        <r>
          <rPr>
            <b/>
            <sz val="9"/>
            <color indexed="81"/>
            <rFont val="Tahoma"/>
            <charset val="1"/>
          </rPr>
          <t>Админ:</t>
        </r>
        <r>
          <rPr>
            <sz val="9"/>
            <color indexed="81"/>
            <rFont val="Tahoma"/>
            <charset val="1"/>
          </rPr>
          <t xml:space="preserve">
Замки
</t>
        </r>
      </text>
    </comment>
    <comment ref="L42" authorId="0">
      <text>
        <r>
          <rPr>
            <b/>
            <sz val="9"/>
            <color indexed="81"/>
            <rFont val="Tahoma"/>
            <family val="2"/>
            <charset val="204"/>
          </rPr>
          <t>Админ:</t>
        </r>
        <r>
          <rPr>
            <sz val="9"/>
            <color indexed="81"/>
            <rFont val="Tahoma"/>
            <family val="2"/>
            <charset val="204"/>
          </rPr>
          <t xml:space="preserve">
электроды
</t>
        </r>
      </text>
    </comment>
    <comment ref="M42" authorId="0">
      <text>
        <r>
          <rPr>
            <b/>
            <sz val="9"/>
            <color indexed="81"/>
            <rFont val="Tahoma"/>
            <charset val="1"/>
          </rPr>
          <t>Админ:</t>
        </r>
        <r>
          <rPr>
            <sz val="9"/>
            <color indexed="81"/>
            <rFont val="Tahoma"/>
            <charset val="1"/>
          </rPr>
          <t xml:space="preserve">
Прокладка трубопровода 6,7 подъезды
</t>
        </r>
      </text>
    </comment>
    <comment ref="J48" authorId="0">
      <text>
        <r>
          <rPr>
            <b/>
            <sz val="9"/>
            <color indexed="81"/>
            <rFont val="Tahoma"/>
            <family val="2"/>
            <charset val="204"/>
          </rPr>
          <t>Админ:</t>
        </r>
        <r>
          <rPr>
            <sz val="9"/>
            <color indexed="81"/>
            <rFont val="Tahoma"/>
            <family val="2"/>
            <charset val="204"/>
          </rPr>
          <t xml:space="preserve">
1378 плитка,клей </t>
        </r>
      </text>
    </comment>
    <comment ref="L48" authorId="0">
      <text>
        <r>
          <rPr>
            <b/>
            <sz val="9"/>
            <color indexed="81"/>
            <rFont val="Tahoma"/>
            <family val="2"/>
            <charset val="204"/>
          </rPr>
          <t>Админ:</t>
        </r>
        <r>
          <rPr>
            <sz val="9"/>
            <color indexed="81"/>
            <rFont val="Tahoma"/>
            <family val="2"/>
            <charset val="204"/>
          </rPr>
          <t xml:space="preserve">
Плитка 11 подъезд
</t>
        </r>
      </text>
    </comment>
    <comment ref="M48" authorId="0">
      <text>
        <r>
          <rPr>
            <b/>
            <sz val="9"/>
            <color indexed="81"/>
            <rFont val="Tahoma"/>
            <family val="2"/>
            <charset val="204"/>
          </rPr>
          <t>Админ:</t>
        </r>
        <r>
          <rPr>
            <sz val="9"/>
            <color indexed="81"/>
            <rFont val="Tahoma"/>
            <family val="2"/>
            <charset val="204"/>
          </rPr>
          <t xml:space="preserve">
сантехника и краска, шпатлевка
</t>
        </r>
      </text>
    </comment>
    <comment ref="P64" authorId="0">
      <text>
        <r>
          <rPr>
            <b/>
            <sz val="9"/>
            <color indexed="81"/>
            <rFont val="Tahoma"/>
            <charset val="1"/>
          </rPr>
          <t>Админ:</t>
        </r>
        <r>
          <rPr>
            <sz val="9"/>
            <color indexed="81"/>
            <rFont val="Tahoma"/>
            <charset val="1"/>
          </rPr>
          <t xml:space="preserve">
Окрашивание ограждений  Кристина
</t>
        </r>
      </text>
    </comment>
    <comment ref="G78" authorId="0">
      <text>
        <r>
          <rPr>
            <b/>
            <sz val="9"/>
            <color indexed="81"/>
            <rFont val="Tahoma"/>
            <charset val="1"/>
          </rPr>
          <t>Админ:</t>
        </r>
        <r>
          <rPr>
            <sz val="9"/>
            <color indexed="81"/>
            <rFont val="Tahoma"/>
            <charset val="1"/>
          </rPr>
          <t xml:space="preserve">
Аренда копрессора
</t>
        </r>
      </text>
    </comment>
    <comment ref="H78" authorId="0">
      <text>
        <r>
          <rPr>
            <b/>
            <sz val="9"/>
            <color indexed="81"/>
            <rFont val="Tahoma"/>
            <family val="2"/>
            <charset val="204"/>
          </rPr>
          <t>Админ:</t>
        </r>
        <r>
          <rPr>
            <sz val="9"/>
            <color indexed="81"/>
            <rFont val="Tahoma"/>
            <family val="2"/>
            <charset val="204"/>
          </rPr>
          <t xml:space="preserve">
Анисимов благоустройство териитории двора</t>
        </r>
      </text>
    </comment>
    <comment ref="J78" authorId="0">
      <text>
        <r>
          <rPr>
            <b/>
            <sz val="9"/>
            <color indexed="81"/>
            <rFont val="Tahoma"/>
            <charset val="1"/>
          </rPr>
          <t>Админ:</t>
        </r>
        <r>
          <rPr>
            <sz val="9"/>
            <color indexed="81"/>
            <rFont val="Tahoma"/>
            <charset val="1"/>
          </rPr>
          <t xml:space="preserve">
Укладка плитки 4,11 подъезд
</t>
        </r>
      </text>
    </comment>
    <comment ref="N78" authorId="0">
      <text>
        <r>
          <rPr>
            <b/>
            <sz val="9"/>
            <color indexed="81"/>
            <rFont val="Tahoma"/>
            <charset val="1"/>
          </rPr>
          <t>Админ:</t>
        </r>
        <r>
          <rPr>
            <sz val="9"/>
            <color indexed="81"/>
            <rFont val="Tahoma"/>
            <charset val="1"/>
          </rPr>
          <t xml:space="preserve">
Опрессовка
Дворницкая
</t>
        </r>
      </text>
    </comment>
  </commentList>
</comments>
</file>

<file path=xl/sharedStrings.xml><?xml version="1.0" encoding="utf-8"?>
<sst xmlns="http://schemas.openxmlformats.org/spreadsheetml/2006/main" count="216" uniqueCount="196">
  <si>
    <t>Смета расходов ТСЖ "ПРОСТОР" по эксплуатации,</t>
  </si>
  <si>
    <t>№</t>
  </si>
  <si>
    <t>Наименование расходов</t>
  </si>
  <si>
    <t>Сумма в месяц, руб.</t>
  </si>
  <si>
    <t>Сумма за год, руб.</t>
  </si>
  <si>
    <t>Фонд оплаты труда с начислениями обслуживающему персоналу с НДФЛ</t>
  </si>
  <si>
    <t>Налоговые и иные обязательные платежи с ФОТ</t>
  </si>
  <si>
    <t>Услуги банка</t>
  </si>
  <si>
    <t>Услуги связи:</t>
  </si>
  <si>
    <t>почтовые расходы</t>
  </si>
  <si>
    <t>Транспортные расходы:</t>
  </si>
  <si>
    <t>на обслуживание аппарата ТСЖ</t>
  </si>
  <si>
    <t>командировочные</t>
  </si>
  <si>
    <t>суточные</t>
  </si>
  <si>
    <t>Обязательное обучение обслуживающего персонала, повышение квалификации</t>
  </si>
  <si>
    <t>Хозяйственные расходы:</t>
  </si>
  <si>
    <t>мастера по уборке придомовой территории (перчатки, СМС и т.д.)</t>
  </si>
  <si>
    <t>мастера по уборке лестничных клеток (перчатки, СМС и т.д.)</t>
  </si>
  <si>
    <t>озеленитель (перчатки, ГСМ, расходные материалы для бензокосилки и т.д.)</t>
  </si>
  <si>
    <t>слесарь-сантехник (перчатки, СМС)</t>
  </si>
  <si>
    <t>Техническое обслуживание, наладка сложного инженерного оборудования, гос. поверка (по договорам):</t>
  </si>
  <si>
    <t>обслуживание охранной и пожарной сигнализации</t>
  </si>
  <si>
    <t>обслуживание водонагнетателей</t>
  </si>
  <si>
    <t>обслуживание антенного оборудования и телекоммуникаций</t>
  </si>
  <si>
    <t>обслуживание систем вентиллирования</t>
  </si>
  <si>
    <t>обслуживание газового оборудования</t>
  </si>
  <si>
    <t>откачка нечистот и чистка колодцев</t>
  </si>
  <si>
    <t>ремонт металлических элементов кровли</t>
  </si>
  <si>
    <t>остекление</t>
  </si>
  <si>
    <t>погрузочно-разгрузочные работы</t>
  </si>
  <si>
    <t>закупка насаждений</t>
  </si>
  <si>
    <t>Проведение аудиторской проверки годовой финансовой отчетности</t>
  </si>
  <si>
    <t>Прочие (непредвиденные расходы)</t>
  </si>
  <si>
    <t>ИТОГО:</t>
  </si>
  <si>
    <t>Общая площадь квартир жилого дома по адресу: ул. Чехова, 346 составляет</t>
  </si>
  <si>
    <t>кв.м</t>
  </si>
  <si>
    <t>тариф на содержание общего имущества МКД за 1 кв.м общей площади в месяц:</t>
  </si>
  <si>
    <t>руб.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</si>
  <si>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</si>
  <si>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</si>
  <si>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</si>
  <si>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</si>
  <si>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</si>
  <si>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</si>
  <si>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</si>
  <si>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</si>
  <si>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</si>
  <si>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</si>
  <si>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</si>
  <si>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расход за год, руб.</t>
  </si>
  <si>
    <t>Общий остаток за год, руб.</t>
  </si>
  <si>
    <t>4.1</t>
  </si>
  <si>
    <t>4.2</t>
  </si>
  <si>
    <t>5.1</t>
  </si>
  <si>
    <t>5.2</t>
  </si>
  <si>
    <t>5.2.1</t>
  </si>
  <si>
    <t>5.2.2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</si>
  <si>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</si>
  <si>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</si>
  <si>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</si>
  <si>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</si>
  <si>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</si>
  <si>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</si>
  <si>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</si>
  <si>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</si>
  <si>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</si>
  <si>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</si>
  <si>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</si>
  <si>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</si>
  <si>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</si>
  <si>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</si>
  <si>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</si>
  <si>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</si>
  <si>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</si>
  <si>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</si>
  <si>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обслуживание ПК и програмного обеспечения</t>
  </si>
  <si>
    <t>10.1</t>
  </si>
  <si>
    <t>10.2</t>
  </si>
  <si>
    <t>10.3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</si>
  <si>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</si>
  <si>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</si>
  <si>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</si>
  <si>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</si>
  <si>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</si>
  <si>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</si>
  <si>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</si>
  <si>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</si>
  <si>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</si>
  <si>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</si>
  <si>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</si>
  <si>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</si>
  <si>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7.3.1</t>
  </si>
  <si>
    <t>7.3.2</t>
  </si>
  <si>
    <t>10.2.1</t>
  </si>
  <si>
    <t>10.2.2</t>
  </si>
  <si>
    <t>Тариф за 1 кв.м в месяц</t>
  </si>
  <si>
    <t>приобретение програмного обеспечения и оргтехники</t>
  </si>
  <si>
    <t>Канцелярские расходы, приобретение и обслуживание оргтехники:</t>
  </si>
  <si>
    <t>компенсация ГСМ</t>
  </si>
  <si>
    <t>7.3.3</t>
  </si>
  <si>
    <t>7.3.4</t>
  </si>
  <si>
    <t>ПК для офиса</t>
  </si>
  <si>
    <t>7.3.5</t>
  </si>
  <si>
    <t>содержание оргтехники (заправки картриджей, запасные части и т.д.)</t>
  </si>
  <si>
    <t>10.4</t>
  </si>
  <si>
    <t>другое (светильники, лампочки, провода и т.д.)</t>
  </si>
  <si>
    <t>Обслуживание и благоустройство мест общего пользования (по договорам):</t>
  </si>
  <si>
    <t>очистка кровли от снега и мусора</t>
  </si>
  <si>
    <t>Приобретение  материалов, запчастей и другое:</t>
  </si>
  <si>
    <t>10.5</t>
  </si>
  <si>
    <t>закупка и ремонт почтовых ящиков</t>
  </si>
  <si>
    <t>Плановый доход от хозяйственной деятельности (за вычетом налогов)</t>
  </si>
  <si>
    <t>благоустройство офиса (мебель, перегородки и др.)</t>
  </si>
  <si>
    <t>приборы учета, трансформаторы тока с настройкой и опломбировкой</t>
  </si>
  <si>
    <t>обслуживание домофонов и дверей подъездов</t>
  </si>
  <si>
    <t>замена дверей подъездов (3 шт.)</t>
  </si>
  <si>
    <t>10.6</t>
  </si>
  <si>
    <t>строительные материалы (плитка, клей, краска, гидроизоляция, теплоизоляция и т.д.)</t>
  </si>
  <si>
    <t>блок бесперебойного питания для ПК и для узла учета тепловой энергии</t>
  </si>
  <si>
    <t>сварочные работы трубопроводов, фланцев для задвижек, водонагревателей</t>
  </si>
  <si>
    <t>10.7</t>
  </si>
  <si>
    <t>10.8</t>
  </si>
  <si>
    <t>окрашивание и ремонт лавочек, детского игрового оборудования, ограждений</t>
  </si>
  <si>
    <t>добавление спутниковых каналов в пакет общей антены</t>
  </si>
  <si>
    <t>На основании сметы расходов на 2011 г. Правление ТСЖ предлагает утвердить</t>
  </si>
  <si>
    <t>дезинфекция и дератизация подвальных помещений</t>
  </si>
  <si>
    <t>компрессор с краскопультом, пневмоинструмент</t>
  </si>
  <si>
    <t>9.11</t>
  </si>
  <si>
    <t>автоматика для регулирования температуры ГВС</t>
  </si>
  <si>
    <t>телефон, интернет</t>
  </si>
  <si>
    <t>7.3.6</t>
  </si>
  <si>
    <t>7.3.7</t>
  </si>
  <si>
    <t>маршрутизатор, комплектующие и другое</t>
  </si>
  <si>
    <t>ОС MS Windows 7</t>
  </si>
  <si>
    <t>MS Office 2010</t>
  </si>
  <si>
    <t>1С 8.2 на 2 ПК с апргрейдом</t>
  </si>
  <si>
    <t>спец. одежда для персонала</t>
  </si>
  <si>
    <t>песок для песочниц, земля для газонов, пастосмесь противогололедная</t>
  </si>
  <si>
    <t>11.13</t>
  </si>
  <si>
    <t>дорожные работы (асфальт, щебень, наем спецтехники)</t>
  </si>
  <si>
    <t>Средства сертификата конкурса "Лучший многоквартирный дом 2010"</t>
  </si>
  <si>
    <t>общедомовые приборы учета воды</t>
  </si>
  <si>
    <t>10.6.1</t>
  </si>
  <si>
    <t>10.6.2</t>
  </si>
  <si>
    <t>сантехническое оборудование:</t>
  </si>
  <si>
    <t>электротехнические материалы:</t>
  </si>
  <si>
    <t>другое (манометры, фланцы, запорная арматура и т.д.)</t>
  </si>
  <si>
    <t>обслуживание узла учета тепловой энергии и воды</t>
  </si>
  <si>
    <t>Финансовый отчет</t>
  </si>
  <si>
    <t>Р/счет</t>
  </si>
  <si>
    <t>Касса</t>
  </si>
  <si>
    <t>В подотчете</t>
  </si>
  <si>
    <t xml:space="preserve">Задолженность </t>
  </si>
  <si>
    <t>жильцы</t>
  </si>
  <si>
    <t>поставщики</t>
  </si>
  <si>
    <t xml:space="preserve">Остаток на </t>
  </si>
  <si>
    <t>Итого по р/сч</t>
  </si>
  <si>
    <t>Итого по кассе</t>
  </si>
  <si>
    <t>Всего по сч      137</t>
  </si>
  <si>
    <t>Итого задолженность</t>
  </si>
  <si>
    <t>Коментарий</t>
  </si>
  <si>
    <t>Приход</t>
  </si>
  <si>
    <t>Расход</t>
  </si>
  <si>
    <t>Поступило</t>
  </si>
  <si>
    <t>Начислено</t>
  </si>
  <si>
    <t>Итого жильцы</t>
  </si>
  <si>
    <t>Оплачено</t>
  </si>
  <si>
    <t>п/о</t>
  </si>
  <si>
    <t>з-та</t>
  </si>
  <si>
    <t>аренда оборудования</t>
  </si>
  <si>
    <t>дорожные</t>
  </si>
  <si>
    <t>Банк</t>
  </si>
  <si>
    <t>ТО 2011</t>
  </si>
  <si>
    <t>ТО 2010</t>
  </si>
  <si>
    <t>матер</t>
  </si>
  <si>
    <t>канцтовары (бумага, ручки и т.д.)</t>
  </si>
  <si>
    <t>Сумма расходов по месяцам 2011 года, руб.</t>
  </si>
  <si>
    <t>в январе за 12.2010г.</t>
  </si>
  <si>
    <t xml:space="preserve">январь </t>
  </si>
  <si>
    <t>установка решеток в подвальных приямках во дворах (7 шт.) и продухах</t>
  </si>
  <si>
    <t>установка системы дворового и подъездного видеонаблюдения</t>
  </si>
  <si>
    <t>9.12</t>
  </si>
  <si>
    <t>опрессовка системы отопления и ГВС</t>
  </si>
  <si>
    <t>11.14</t>
  </si>
  <si>
    <t>отделочные работы в помещении ВРУ 4 (11 подъезд)</t>
  </si>
  <si>
    <t>установка автозаграждений на тротуарах, турника, стойки, решеток на 3 окна</t>
  </si>
  <si>
    <t>11.15</t>
  </si>
  <si>
    <t>11.16</t>
  </si>
  <si>
    <t>услуги по пересадке и транспортировке голубой ели</t>
  </si>
  <si>
    <t>установка ограждений детских площадок, клумбы</t>
  </si>
  <si>
    <t>установка ограждения голубой ели и стойки</t>
  </si>
  <si>
    <t>в январе за 12.11</t>
  </si>
  <si>
    <t>Комментарии</t>
  </si>
  <si>
    <t xml:space="preserve"> </t>
  </si>
  <si>
    <t>антивирус KIS 2011</t>
  </si>
  <si>
    <t>техническому содержанию и ремонту общего имущества многоквартирного дома на 2011 год</t>
  </si>
</sst>
</file>

<file path=xl/styles.xml><?xml version="1.0" encoding="utf-8"?>
<styleSheet xmlns="http://schemas.openxmlformats.org/spreadsheetml/2006/main">
  <fonts count="14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8"/>
      <name val="Arial Cyr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9"/>
      <name val="Arial Cyr"/>
      <charset val="204"/>
    </font>
    <font>
      <b/>
      <i/>
      <sz val="8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9"/>
      <color rgb="FFFF000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</fills>
  <borders count="82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16" fontId="5" fillId="3" borderId="8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1" fontId="3" fillId="0" borderId="14" xfId="0" applyNumberFormat="1" applyFont="1" applyBorder="1"/>
    <xf numFmtId="0" fontId="5" fillId="3" borderId="15" xfId="0" applyFont="1" applyFill="1" applyBorder="1" applyAlignment="1">
      <alignment horizontal="center" vertical="center"/>
    </xf>
    <xf numFmtId="0" fontId="5" fillId="0" borderId="16" xfId="0" applyFont="1" applyBorder="1"/>
    <xf numFmtId="0" fontId="5" fillId="0" borderId="8" xfId="0" applyFont="1" applyBorder="1"/>
    <xf numFmtId="1" fontId="5" fillId="0" borderId="17" xfId="0" applyNumberFormat="1" applyFont="1" applyBorder="1"/>
    <xf numFmtId="0" fontId="5" fillId="0" borderId="18" xfId="0" applyFont="1" applyBorder="1"/>
    <xf numFmtId="1" fontId="5" fillId="0" borderId="19" xfId="0" applyNumberFormat="1" applyFont="1" applyBorder="1"/>
    <xf numFmtId="1" fontId="3" fillId="0" borderId="20" xfId="0" applyNumberFormat="1" applyFont="1" applyBorder="1"/>
    <xf numFmtId="1" fontId="5" fillId="0" borderId="21" xfId="0" applyNumberFormat="1" applyFont="1" applyBorder="1"/>
    <xf numFmtId="0" fontId="5" fillId="3" borderId="22" xfId="0" applyFont="1" applyFill="1" applyBorder="1"/>
    <xf numFmtId="1" fontId="5" fillId="4" borderId="21" xfId="0" applyNumberFormat="1" applyFont="1" applyFill="1" applyBorder="1"/>
    <xf numFmtId="0" fontId="1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2" fontId="7" fillId="0" borderId="29" xfId="0" applyNumberFormat="1" applyFont="1" applyBorder="1" applyAlignment="1">
      <alignment horizontal="center"/>
    </xf>
    <xf numFmtId="0" fontId="5" fillId="5" borderId="31" xfId="0" applyFont="1" applyFill="1" applyBorder="1"/>
    <xf numFmtId="0" fontId="5" fillId="5" borderId="22" xfId="0" applyFont="1" applyFill="1" applyBorder="1"/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left"/>
    </xf>
    <xf numFmtId="1" fontId="7" fillId="0" borderId="34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2" fontId="7" fillId="0" borderId="30" xfId="0" applyNumberFormat="1" applyFont="1" applyBorder="1" applyAlignment="1">
      <alignment horizontal="center"/>
    </xf>
    <xf numFmtId="0" fontId="7" fillId="0" borderId="35" xfId="0" applyFont="1" applyBorder="1"/>
    <xf numFmtId="0" fontId="7" fillId="0" borderId="36" xfId="0" applyFont="1" applyBorder="1"/>
    <xf numFmtId="1" fontId="7" fillId="0" borderId="14" xfId="0" applyNumberFormat="1" applyFont="1" applyBorder="1"/>
    <xf numFmtId="0" fontId="7" fillId="0" borderId="0" xfId="0" applyFont="1"/>
    <xf numFmtId="0" fontId="7" fillId="0" borderId="37" xfId="0" applyFont="1" applyBorder="1"/>
    <xf numFmtId="2" fontId="5" fillId="5" borderId="38" xfId="0" applyNumberFormat="1" applyFont="1" applyFill="1" applyBorder="1" applyAlignment="1">
      <alignment horizontal="center"/>
    </xf>
    <xf numFmtId="1" fontId="5" fillId="5" borderId="7" xfId="0" applyNumberFormat="1" applyFont="1" applyFill="1" applyBorder="1" applyAlignment="1">
      <alignment horizontal="center"/>
    </xf>
    <xf numFmtId="0" fontId="1" fillId="5" borderId="39" xfId="0" applyNumberFormat="1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2" fontId="5" fillId="6" borderId="8" xfId="0" applyNumberFormat="1" applyFont="1" applyFill="1" applyBorder="1" applyAlignment="1">
      <alignment horizontal="center"/>
    </xf>
    <xf numFmtId="1" fontId="5" fillId="2" borderId="15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1" fontId="7" fillId="0" borderId="20" xfId="0" applyNumberFormat="1" applyFont="1" applyBorder="1"/>
    <xf numFmtId="0" fontId="7" fillId="0" borderId="1" xfId="0" applyFont="1" applyFill="1" applyBorder="1" applyAlignment="1">
      <alignment horizontal="left"/>
    </xf>
    <xf numFmtId="0" fontId="1" fillId="0" borderId="18" xfId="0" applyNumberFormat="1" applyFont="1" applyFill="1" applyBorder="1" applyAlignment="1"/>
    <xf numFmtId="0" fontId="1" fillId="0" borderId="43" xfId="0" applyNumberFormat="1" applyFont="1" applyFill="1" applyBorder="1" applyAlignment="1"/>
    <xf numFmtId="0" fontId="7" fillId="0" borderId="36" xfId="0" applyNumberFormat="1" applyFont="1" applyBorder="1" applyAlignment="1"/>
    <xf numFmtId="0" fontId="7" fillId="0" borderId="36" xfId="0" applyNumberFormat="1" applyFont="1" applyFill="1" applyBorder="1" applyAlignment="1"/>
    <xf numFmtId="0" fontId="3" fillId="0" borderId="35" xfId="0" applyNumberFormat="1" applyFont="1" applyBorder="1" applyAlignment="1"/>
    <xf numFmtId="0" fontId="3" fillId="0" borderId="36" xfId="0" applyNumberFormat="1" applyFont="1" applyBorder="1" applyAlignment="1"/>
    <xf numFmtId="0" fontId="3" fillId="0" borderId="44" xfId="0" applyNumberFormat="1" applyFont="1" applyBorder="1" applyAlignment="1"/>
    <xf numFmtId="0" fontId="3" fillId="0" borderId="45" xfId="0" applyNumberFormat="1" applyFont="1" applyBorder="1" applyAlignment="1"/>
    <xf numFmtId="0" fontId="5" fillId="0" borderId="46" xfId="0" applyFont="1" applyBorder="1"/>
    <xf numFmtId="0" fontId="5" fillId="0" borderId="47" xfId="0" applyFont="1" applyBorder="1"/>
    <xf numFmtId="0" fontId="1" fillId="0" borderId="18" xfId="0" applyFont="1" applyFill="1" applyBorder="1" applyAlignment="1"/>
    <xf numFmtId="0" fontId="1" fillId="0" borderId="43" xfId="0" applyFont="1" applyFill="1" applyBorder="1" applyAlignment="1"/>
    <xf numFmtId="0" fontId="1" fillId="0" borderId="18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7" fillId="0" borderId="35" xfId="0" applyFont="1" applyBorder="1" applyAlignment="1"/>
    <xf numFmtId="0" fontId="7" fillId="0" borderId="36" xfId="0" applyFont="1" applyBorder="1" applyAlignment="1"/>
    <xf numFmtId="0" fontId="7" fillId="0" borderId="35" xfId="0" applyFont="1" applyFill="1" applyBorder="1" applyAlignment="1"/>
    <xf numFmtId="0" fontId="7" fillId="0" borderId="36" xfId="0" applyFont="1" applyFill="1" applyBorder="1" applyAlignment="1"/>
    <xf numFmtId="0" fontId="3" fillId="0" borderId="35" xfId="0" applyFont="1" applyBorder="1" applyAlignment="1"/>
    <xf numFmtId="0" fontId="3" fillId="0" borderId="36" xfId="0" applyFont="1" applyBorder="1" applyAlignment="1"/>
    <xf numFmtId="0" fontId="7" fillId="0" borderId="48" xfId="0" applyFont="1" applyBorder="1" applyAlignment="1"/>
    <xf numFmtId="0" fontId="7" fillId="0" borderId="37" xfId="0" applyFont="1" applyBorder="1" applyAlignment="1"/>
    <xf numFmtId="0" fontId="3" fillId="0" borderId="33" xfId="0" applyFont="1" applyBorder="1" applyAlignment="1">
      <alignment horizontal="left"/>
    </xf>
    <xf numFmtId="2" fontId="3" fillId="0" borderId="49" xfId="0" applyNumberFormat="1" applyFont="1" applyBorder="1" applyAlignment="1">
      <alignment horizontal="center"/>
    </xf>
    <xf numFmtId="1" fontId="3" fillId="0" borderId="34" xfId="0" applyNumberFormat="1" applyFont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0" fontId="3" fillId="0" borderId="48" xfId="0" applyFont="1" applyBorder="1" applyAlignment="1"/>
    <xf numFmtId="0" fontId="3" fillId="0" borderId="37" xfId="0" applyFont="1" applyBorder="1" applyAlignment="1"/>
    <xf numFmtId="0" fontId="7" fillId="0" borderId="50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1" fontId="5" fillId="5" borderId="17" xfId="0" applyNumberFormat="1" applyFont="1" applyFill="1" applyBorder="1"/>
    <xf numFmtId="0" fontId="3" fillId="0" borderId="32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/>
    </xf>
    <xf numFmtId="2" fontId="1" fillId="5" borderId="27" xfId="0" applyNumberFormat="1" applyFont="1" applyFill="1" applyBorder="1" applyAlignment="1">
      <alignment horizontal="center"/>
    </xf>
    <xf numFmtId="0" fontId="5" fillId="0" borderId="36" xfId="0" applyFont="1" applyBorder="1"/>
    <xf numFmtId="0" fontId="0" fillId="0" borderId="36" xfId="0" applyBorder="1"/>
    <xf numFmtId="14" fontId="5" fillId="0" borderId="36" xfId="0" applyNumberFormat="1" applyFont="1" applyBorder="1"/>
    <xf numFmtId="0" fontId="5" fillId="0" borderId="43" xfId="0" applyFont="1" applyFill="1" applyBorder="1"/>
    <xf numFmtId="1" fontId="5" fillId="0" borderId="8" xfId="0" applyNumberFormat="1" applyFont="1" applyBorder="1"/>
    <xf numFmtId="16" fontId="5" fillId="3" borderId="53" xfId="0" applyNumberFormat="1" applyFont="1" applyFill="1" applyBorder="1" applyAlignment="1">
      <alignment horizontal="center" vertical="center"/>
    </xf>
    <xf numFmtId="0" fontId="1" fillId="0" borderId="54" xfId="0" applyFont="1" applyFill="1" applyBorder="1" applyAlignment="1"/>
    <xf numFmtId="0" fontId="7" fillId="0" borderId="55" xfId="0" applyFont="1" applyFill="1" applyBorder="1" applyAlignment="1"/>
    <xf numFmtId="0" fontId="5" fillId="5" borderId="56" xfId="0" applyFont="1" applyFill="1" applyBorder="1"/>
    <xf numFmtId="16" fontId="5" fillId="3" borderId="16" xfId="0" applyNumberFormat="1" applyFont="1" applyFill="1" applyBorder="1" applyAlignment="1">
      <alignment horizontal="center" vertical="distributed"/>
    </xf>
    <xf numFmtId="0" fontId="5" fillId="0" borderId="8" xfId="0" applyFont="1" applyFill="1" applyBorder="1"/>
    <xf numFmtId="1" fontId="5" fillId="0" borderId="8" xfId="0" applyNumberFormat="1" applyFont="1" applyFill="1" applyBorder="1"/>
    <xf numFmtId="0" fontId="7" fillId="0" borderId="36" xfId="0" applyFont="1" applyFill="1" applyBorder="1"/>
    <xf numFmtId="0" fontId="7" fillId="0" borderId="37" xfId="0" applyFont="1" applyFill="1" applyBorder="1"/>
    <xf numFmtId="0" fontId="3" fillId="0" borderId="36" xfId="0" applyNumberFormat="1" applyFont="1" applyFill="1" applyBorder="1" applyAlignment="1"/>
    <xf numFmtId="0" fontId="3" fillId="0" borderId="45" xfId="0" applyNumberFormat="1" applyFont="1" applyFill="1" applyBorder="1" applyAlignment="1"/>
    <xf numFmtId="0" fontId="5" fillId="0" borderId="47" xfId="0" applyFont="1" applyFill="1" applyBorder="1"/>
    <xf numFmtId="0" fontId="3" fillId="0" borderId="36" xfId="0" applyFont="1" applyFill="1" applyBorder="1" applyAlignment="1"/>
    <xf numFmtId="0" fontId="3" fillId="0" borderId="37" xfId="0" applyFont="1" applyFill="1" applyBorder="1" applyAlignment="1"/>
    <xf numFmtId="0" fontId="13" fillId="0" borderId="36" xfId="0" applyFont="1" applyFill="1" applyBorder="1" applyAlignment="1"/>
    <xf numFmtId="0" fontId="7" fillId="0" borderId="37" xfId="0" applyFont="1" applyFill="1" applyBorder="1" applyAlignment="1"/>
    <xf numFmtId="0" fontId="5" fillId="0" borderId="53" xfId="0" applyFont="1" applyFill="1" applyBorder="1"/>
    <xf numFmtId="0" fontId="7" fillId="0" borderId="55" xfId="0" applyFont="1" applyFill="1" applyBorder="1"/>
    <xf numFmtId="0" fontId="3" fillId="0" borderId="55" xfId="0" applyNumberFormat="1" applyFont="1" applyFill="1" applyBorder="1" applyAlignment="1"/>
    <xf numFmtId="0" fontId="3" fillId="0" borderId="57" xfId="0" applyNumberFormat="1" applyFont="1" applyFill="1" applyBorder="1" applyAlignment="1"/>
    <xf numFmtId="0" fontId="5" fillId="0" borderId="58" xfId="0" applyFont="1" applyFill="1" applyBorder="1"/>
    <xf numFmtId="0" fontId="3" fillId="0" borderId="55" xfId="0" applyFont="1" applyFill="1" applyBorder="1" applyAlignment="1"/>
    <xf numFmtId="0" fontId="3" fillId="0" borderId="59" xfId="0" applyFont="1" applyFill="1" applyBorder="1" applyAlignment="1"/>
    <xf numFmtId="0" fontId="7" fillId="0" borderId="59" xfId="0" applyFont="1" applyFill="1" applyBorder="1" applyAlignment="1"/>
    <xf numFmtId="0" fontId="3" fillId="0" borderId="35" xfId="0" applyFont="1" applyFill="1" applyBorder="1" applyAlignment="1"/>
    <xf numFmtId="0" fontId="5" fillId="0" borderId="16" xfId="0" applyFont="1" applyFill="1" applyBorder="1"/>
    <xf numFmtId="2" fontId="7" fillId="0" borderId="60" xfId="0" applyNumberFormat="1" applyFont="1" applyBorder="1" applyAlignment="1">
      <alignment horizontal="center"/>
    </xf>
    <xf numFmtId="1" fontId="7" fillId="0" borderId="61" xfId="0" applyNumberFormat="1" applyFont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46" xfId="0" applyFont="1" applyBorder="1" applyAlignment="1"/>
    <xf numFmtId="0" fontId="7" fillId="0" borderId="58" xfId="0" applyFont="1" applyFill="1" applyBorder="1" applyAlignment="1"/>
    <xf numFmtId="0" fontId="7" fillId="0" borderId="47" xfId="0" applyFont="1" applyFill="1" applyBorder="1" applyAlignment="1"/>
    <xf numFmtId="0" fontId="7" fillId="0" borderId="47" xfId="0" applyFont="1" applyBorder="1" applyAlignment="1"/>
    <xf numFmtId="2" fontId="7" fillId="0" borderId="0" xfId="0" applyNumberFormat="1" applyFont="1" applyBorder="1" applyAlignment="1">
      <alignment horizontal="center"/>
    </xf>
    <xf numFmtId="1" fontId="7" fillId="0" borderId="63" xfId="0" applyNumberFormat="1" applyFont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7" fillId="0" borderId="31" xfId="0" applyFont="1" applyBorder="1" applyAlignment="1"/>
    <xf numFmtId="0" fontId="7" fillId="0" borderId="56" xfId="0" applyFont="1" applyFill="1" applyBorder="1" applyAlignment="1"/>
    <xf numFmtId="0" fontId="7" fillId="0" borderId="22" xfId="0" applyFont="1" applyFill="1" applyBorder="1" applyAlignment="1"/>
    <xf numFmtId="0" fontId="7" fillId="0" borderId="22" xfId="0" applyFont="1" applyBorder="1" applyAlignment="1"/>
    <xf numFmtId="2" fontId="7" fillId="0" borderId="65" xfId="0" applyNumberFormat="1" applyFont="1" applyBorder="1" applyAlignment="1">
      <alignment horizontal="center"/>
    </xf>
    <xf numFmtId="1" fontId="7" fillId="0" borderId="66" xfId="0" applyNumberFormat="1" applyFont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68" xfId="0" applyFont="1" applyBorder="1" applyAlignment="1">
      <alignment horizontal="left"/>
    </xf>
    <xf numFmtId="2" fontId="7" fillId="0" borderId="69" xfId="0" applyNumberFormat="1" applyFont="1" applyBorder="1" applyAlignment="1">
      <alignment horizontal="center"/>
    </xf>
    <xf numFmtId="1" fontId="7" fillId="0" borderId="7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0" borderId="27" xfId="0" applyFont="1" applyBorder="1"/>
    <xf numFmtId="0" fontId="7" fillId="0" borderId="69" xfId="0" applyFont="1" applyBorder="1"/>
    <xf numFmtId="0" fontId="7" fillId="0" borderId="71" xfId="0" applyFont="1" applyBorder="1"/>
    <xf numFmtId="0" fontId="5" fillId="0" borderId="0" xfId="0" applyFont="1" applyBorder="1"/>
    <xf numFmtId="0" fontId="7" fillId="0" borderId="69" xfId="0" applyFont="1" applyBorder="1" applyAlignment="1"/>
    <xf numFmtId="0" fontId="7" fillId="0" borderId="71" xfId="0" applyFont="1" applyBorder="1" applyAlignment="1"/>
    <xf numFmtId="0" fontId="7" fillId="0" borderId="0" xfId="0" applyFont="1" applyBorder="1" applyAlignment="1"/>
    <xf numFmtId="0" fontId="3" fillId="0" borderId="69" xfId="0" applyFont="1" applyBorder="1" applyAlignment="1"/>
    <xf numFmtId="0" fontId="5" fillId="5" borderId="72" xfId="0" applyFont="1" applyFill="1" applyBorder="1"/>
    <xf numFmtId="0" fontId="5" fillId="3" borderId="8" xfId="0" applyFont="1" applyFill="1" applyBorder="1" applyAlignment="1">
      <alignment horizontal="center" vertical="center" wrapText="1"/>
    </xf>
    <xf numFmtId="0" fontId="7" fillId="0" borderId="69" xfId="0" applyNumberFormat="1" applyFont="1" applyBorder="1" applyAlignment="1"/>
    <xf numFmtId="0" fontId="3" fillId="0" borderId="69" xfId="0" applyNumberFormat="1" applyFont="1" applyBorder="1" applyAlignment="1"/>
    <xf numFmtId="0" fontId="3" fillId="0" borderId="73" xfId="0" applyNumberFormat="1" applyFont="1" applyBorder="1" applyAlignment="1"/>
    <xf numFmtId="0" fontId="3" fillId="0" borderId="35" xfId="0" applyFont="1" applyBorder="1"/>
    <xf numFmtId="0" fontId="7" fillId="0" borderId="74" xfId="0" applyFont="1" applyBorder="1" applyAlignment="1"/>
    <xf numFmtId="1" fontId="5" fillId="3" borderId="22" xfId="0" applyNumberFormat="1" applyFont="1" applyFill="1" applyBorder="1"/>
    <xf numFmtId="14" fontId="0" fillId="0" borderId="36" xfId="0" applyNumberFormat="1" applyBorder="1"/>
    <xf numFmtId="0" fontId="7" fillId="0" borderId="75" xfId="0" applyFont="1" applyBorder="1"/>
    <xf numFmtId="0" fontId="7" fillId="0" borderId="59" xfId="0" applyFont="1" applyBorder="1"/>
    <xf numFmtId="0" fontId="7" fillId="0" borderId="44" xfId="0" applyFont="1" applyBorder="1"/>
    <xf numFmtId="0" fontId="7" fillId="0" borderId="55" xfId="0" applyNumberFormat="1" applyFont="1" applyFill="1" applyBorder="1" applyAlignment="1"/>
    <xf numFmtId="0" fontId="7" fillId="0" borderId="75" xfId="0" applyNumberFormat="1" applyFont="1" applyFill="1" applyBorder="1" applyAlignment="1"/>
    <xf numFmtId="0" fontId="7" fillId="0" borderId="55" xfId="0" applyFont="1" applyBorder="1" applyAlignment="1"/>
    <xf numFmtId="0" fontId="7" fillId="0" borderId="75" xfId="0" applyFont="1" applyBorder="1" applyAlignment="1"/>
    <xf numFmtId="0" fontId="3" fillId="0" borderId="75" xfId="0" applyFont="1" applyBorder="1" applyAlignment="1"/>
    <xf numFmtId="0" fontId="0" fillId="0" borderId="31" xfId="0" applyBorder="1"/>
    <xf numFmtId="0" fontId="5" fillId="0" borderId="56" xfId="0" applyFont="1" applyFill="1" applyBorder="1"/>
    <xf numFmtId="0" fontId="5" fillId="0" borderId="22" xfId="0" applyFont="1" applyFill="1" applyBorder="1"/>
    <xf numFmtId="0" fontId="5" fillId="0" borderId="22" xfId="0" applyFont="1" applyBorder="1"/>
    <xf numFmtId="1" fontId="5" fillId="0" borderId="64" xfId="0" applyNumberFormat="1" applyFont="1" applyBorder="1"/>
    <xf numFmtId="0" fontId="1" fillId="0" borderId="76" xfId="0" applyNumberFormat="1" applyFont="1" applyFill="1" applyBorder="1" applyAlignment="1"/>
    <xf numFmtId="0" fontId="7" fillId="0" borderId="77" xfId="0" applyNumberFormat="1" applyFont="1" applyFill="1" applyBorder="1" applyAlignment="1"/>
    <xf numFmtId="0" fontId="1" fillId="0" borderId="76" xfId="0" applyFont="1" applyFill="1" applyBorder="1" applyAlignment="1"/>
    <xf numFmtId="0" fontId="7" fillId="0" borderId="77" xfId="0" applyFont="1" applyFill="1" applyBorder="1" applyAlignment="1"/>
    <xf numFmtId="0" fontId="3" fillId="0" borderId="71" xfId="0" applyFont="1" applyBorder="1" applyAlignment="1"/>
    <xf numFmtId="0" fontId="1" fillId="0" borderId="76" xfId="0" applyFont="1" applyFill="1" applyBorder="1" applyAlignment="1">
      <alignment vertical="center"/>
    </xf>
    <xf numFmtId="0" fontId="7" fillId="0" borderId="69" xfId="0" applyFont="1" applyFill="1" applyBorder="1" applyAlignment="1"/>
    <xf numFmtId="0" fontId="7" fillId="0" borderId="77" xfId="0" applyFont="1" applyBorder="1" applyAlignment="1"/>
    <xf numFmtId="0" fontId="1" fillId="0" borderId="78" xfId="0" applyFont="1" applyFill="1" applyBorder="1" applyAlignment="1"/>
    <xf numFmtId="0" fontId="5" fillId="0" borderId="72" xfId="0" applyFont="1" applyBorder="1"/>
    <xf numFmtId="0" fontId="5" fillId="3" borderId="79" xfId="0" applyFont="1" applyFill="1" applyBorder="1"/>
    <xf numFmtId="0" fontId="7" fillId="0" borderId="14" xfId="0" applyFont="1" applyBorder="1"/>
    <xf numFmtId="0" fontId="3" fillId="0" borderId="14" xfId="0" applyFont="1" applyBorder="1"/>
    <xf numFmtId="1" fontId="5" fillId="3" borderId="31" xfId="0" applyNumberFormat="1" applyFont="1" applyFill="1" applyBorder="1"/>
    <xf numFmtId="1" fontId="5" fillId="7" borderId="17" xfId="0" applyNumberFormat="1" applyFont="1" applyFill="1" applyBorder="1"/>
    <xf numFmtId="0" fontId="7" fillId="0" borderId="35" xfId="0" applyFont="1" applyFill="1" applyBorder="1"/>
    <xf numFmtId="0" fontId="5" fillId="4" borderId="13" xfId="0" applyFont="1" applyFill="1" applyBorder="1" applyAlignment="1">
      <alignment horizontal="center" wrapText="1"/>
    </xf>
    <xf numFmtId="0" fontId="5" fillId="4" borderId="21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80" xfId="0" applyFont="1" applyFill="1" applyBorder="1" applyAlignment="1">
      <alignment horizontal="center"/>
    </xf>
    <xf numFmtId="0" fontId="5" fillId="3" borderId="81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tabSelected="1" workbookViewId="0">
      <pane xSplit="5" ySplit="4" topLeftCell="P62" activePane="bottomRight" state="frozen"/>
      <selection pane="topRight" activeCell="F1" sqref="F1"/>
      <selection pane="bottomLeft" activeCell="A5" sqref="A5"/>
      <selection pane="bottomRight" activeCell="S57" sqref="S57"/>
    </sheetView>
  </sheetViews>
  <sheetFormatPr defaultRowHeight="13.2" outlineLevelRow="2"/>
  <cols>
    <col min="1" max="1" width="6" bestFit="1" customWidth="1"/>
    <col min="2" max="2" width="70.77734375" customWidth="1"/>
    <col min="3" max="3" width="9" customWidth="1"/>
    <col min="4" max="4" width="8.6640625" customWidth="1"/>
    <col min="5" max="5" width="8.109375" customWidth="1"/>
  </cols>
  <sheetData>
    <row r="1" spans="1:21">
      <c r="A1" s="219" t="s">
        <v>0</v>
      </c>
      <c r="B1" s="219"/>
      <c r="C1" s="219"/>
      <c r="D1" s="219"/>
      <c r="E1" s="219"/>
    </row>
    <row r="2" spans="1:21" ht="13.8" thickBot="1">
      <c r="A2" s="219" t="s">
        <v>195</v>
      </c>
      <c r="B2" s="219"/>
      <c r="C2" s="219"/>
      <c r="D2" s="219"/>
      <c r="E2" s="219"/>
    </row>
    <row r="3" spans="1:21" ht="13.8" thickBot="1">
      <c r="A3" s="220"/>
      <c r="B3" s="220"/>
      <c r="C3" s="220"/>
      <c r="D3" s="220"/>
      <c r="E3" s="220"/>
      <c r="F3" s="223" t="s">
        <v>176</v>
      </c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168"/>
      <c r="T3" s="215" t="s">
        <v>49</v>
      </c>
      <c r="U3" s="215" t="s">
        <v>50</v>
      </c>
    </row>
    <row r="4" spans="1:21" ht="53.4" thickBot="1">
      <c r="A4" s="9" t="s">
        <v>1</v>
      </c>
      <c r="B4" s="10" t="s">
        <v>2</v>
      </c>
      <c r="C4" s="13" t="s">
        <v>95</v>
      </c>
      <c r="D4" s="13" t="s">
        <v>3</v>
      </c>
      <c r="E4" s="20" t="s">
        <v>4</v>
      </c>
      <c r="F4" s="125" t="s">
        <v>177</v>
      </c>
      <c r="G4" s="121" t="s">
        <v>178</v>
      </c>
      <c r="H4" s="14" t="s">
        <v>38</v>
      </c>
      <c r="I4" s="15" t="s">
        <v>39</v>
      </c>
      <c r="J4" s="14" t="s">
        <v>40</v>
      </c>
      <c r="K4" s="15" t="s">
        <v>41</v>
      </c>
      <c r="L4" s="14" t="s">
        <v>42</v>
      </c>
      <c r="M4" s="15" t="s">
        <v>43</v>
      </c>
      <c r="N4" s="14" t="s">
        <v>44</v>
      </c>
      <c r="O4" s="15" t="s">
        <v>45</v>
      </c>
      <c r="P4" s="14" t="s">
        <v>46</v>
      </c>
      <c r="Q4" s="15" t="s">
        <v>47</v>
      </c>
      <c r="R4" s="22" t="s">
        <v>48</v>
      </c>
      <c r="S4" s="178" t="s">
        <v>191</v>
      </c>
      <c r="T4" s="216"/>
      <c r="U4" s="216"/>
    </row>
    <row r="5" spans="1:21" ht="13.8" thickBot="1">
      <c r="A5" s="32">
        <v>1</v>
      </c>
      <c r="B5" s="6" t="s">
        <v>5</v>
      </c>
      <c r="C5" s="43">
        <f>D5/D83</f>
        <v>4.7177036430618093</v>
      </c>
      <c r="D5" s="16">
        <f t="shared" ref="D5:D44" si="0">E5/12</f>
        <v>115253.5</v>
      </c>
      <c r="E5" s="74">
        <v>1383042</v>
      </c>
      <c r="F5" s="146"/>
      <c r="G5" s="137">
        <v>106140</v>
      </c>
      <c r="H5" s="126">
        <f>110400-3000</f>
        <v>107400</v>
      </c>
      <c r="I5" s="126">
        <v>105400</v>
      </c>
      <c r="J5" s="24">
        <f>132985-6000-3000-2000-5425</f>
        <v>116560</v>
      </c>
      <c r="K5" s="24">
        <v>111722</v>
      </c>
      <c r="L5" s="24">
        <f>123230-3000</f>
        <v>120230</v>
      </c>
      <c r="M5" s="126">
        <f>154625-3000-15500-15000</f>
        <v>121125</v>
      </c>
      <c r="N5" s="126">
        <f>146305-25000</f>
        <v>121305</v>
      </c>
      <c r="O5" s="24">
        <v>124994</v>
      </c>
      <c r="P5" s="24">
        <v>126285</v>
      </c>
      <c r="Q5" s="24">
        <f>136649-22989</f>
        <v>113660</v>
      </c>
      <c r="R5" s="24">
        <f>106721+1500</f>
        <v>108221</v>
      </c>
      <c r="S5" s="169"/>
      <c r="T5" s="25">
        <f t="shared" ref="T5:T12" si="1">SUM(G5:S5)</f>
        <v>1383042</v>
      </c>
      <c r="U5" s="25">
        <f>E5-T5</f>
        <v>0</v>
      </c>
    </row>
    <row r="6" spans="1:21" ht="13.8" thickBot="1">
      <c r="A6" s="32">
        <v>2</v>
      </c>
      <c r="B6" s="6" t="s">
        <v>6</v>
      </c>
      <c r="C6" s="43">
        <f>D6/D83</f>
        <v>1.2360383408377678</v>
      </c>
      <c r="D6" s="16">
        <f t="shared" si="0"/>
        <v>30196.416666666668</v>
      </c>
      <c r="E6" s="74">
        <v>362357</v>
      </c>
      <c r="F6" s="127">
        <f t="shared" ref="F6:R6" si="2">F5*26.2/100</f>
        <v>0</v>
      </c>
      <c r="G6" s="127">
        <f t="shared" si="2"/>
        <v>27808.68</v>
      </c>
      <c r="H6" s="127">
        <f t="shared" si="2"/>
        <v>28138.799999999999</v>
      </c>
      <c r="I6" s="127">
        <f t="shared" si="2"/>
        <v>27614.799999999999</v>
      </c>
      <c r="J6" s="120">
        <f t="shared" si="2"/>
        <v>30538.720000000001</v>
      </c>
      <c r="K6" s="120">
        <f t="shared" si="2"/>
        <v>29271.164000000001</v>
      </c>
      <c r="L6" s="120">
        <f t="shared" si="2"/>
        <v>31500.26</v>
      </c>
      <c r="M6" s="120">
        <f t="shared" si="2"/>
        <v>31734.75</v>
      </c>
      <c r="N6" s="120">
        <f t="shared" si="2"/>
        <v>31781.91</v>
      </c>
      <c r="O6" s="120">
        <f t="shared" si="2"/>
        <v>32748.428</v>
      </c>
      <c r="P6" s="120">
        <f t="shared" si="2"/>
        <v>33086.67</v>
      </c>
      <c r="Q6" s="120">
        <f t="shared" si="2"/>
        <v>29778.92</v>
      </c>
      <c r="R6" s="120">
        <f t="shared" si="2"/>
        <v>28353.901999999998</v>
      </c>
      <c r="S6" s="169"/>
      <c r="T6" s="25">
        <f t="shared" si="1"/>
        <v>362357.00399999996</v>
      </c>
      <c r="U6" s="25">
        <f t="shared" ref="U6:U75" si="3">E6-T6</f>
        <v>-3.9999999571591616E-3</v>
      </c>
    </row>
    <row r="7" spans="1:21" ht="13.8" thickBot="1">
      <c r="A7" s="32">
        <v>3</v>
      </c>
      <c r="B7" s="6" t="s">
        <v>7</v>
      </c>
      <c r="C7" s="43">
        <f>D7/D83</f>
        <v>5.67949242734343E-2</v>
      </c>
      <c r="D7" s="16">
        <f t="shared" si="0"/>
        <v>1387.5</v>
      </c>
      <c r="E7" s="74">
        <v>16650</v>
      </c>
      <c r="F7" s="146"/>
      <c r="G7" s="137">
        <v>1390</v>
      </c>
      <c r="H7" s="126">
        <f>830+500</f>
        <v>1330</v>
      </c>
      <c r="I7" s="126">
        <v>1450</v>
      </c>
      <c r="J7" s="24">
        <v>1390</v>
      </c>
      <c r="K7" s="24">
        <v>1570</v>
      </c>
      <c r="L7" s="24">
        <v>1330</v>
      </c>
      <c r="M7" s="24">
        <v>1360</v>
      </c>
      <c r="N7" s="24">
        <v>1330</v>
      </c>
      <c r="O7" s="24">
        <v>1360</v>
      </c>
      <c r="P7" s="24">
        <v>1450</v>
      </c>
      <c r="Q7" s="24">
        <v>1240</v>
      </c>
      <c r="R7" s="24">
        <v>1450</v>
      </c>
      <c r="S7" s="169"/>
      <c r="T7" s="25">
        <f t="shared" si="1"/>
        <v>16650</v>
      </c>
      <c r="U7" s="25">
        <f t="shared" si="3"/>
        <v>0</v>
      </c>
    </row>
    <row r="8" spans="1:21">
      <c r="A8" s="33">
        <v>4</v>
      </c>
      <c r="B8" s="7" t="s">
        <v>8</v>
      </c>
      <c r="C8" s="44">
        <f>D8/D83</f>
        <v>6.9699140401146137E-2</v>
      </c>
      <c r="D8" s="17">
        <f t="shared" si="0"/>
        <v>1702.75</v>
      </c>
      <c r="E8" s="75">
        <f>E9+E10</f>
        <v>20433</v>
      </c>
      <c r="F8" s="26">
        <f>SUM(F9:F10)</f>
        <v>1650.82</v>
      </c>
      <c r="G8" s="119">
        <f>SUM(G9:G10)</f>
        <v>26.45</v>
      </c>
      <c r="H8" s="119">
        <f>SUM(H9:H10)</f>
        <v>2594.96</v>
      </c>
      <c r="I8" s="119">
        <f>SUM(I9:I10)</f>
        <v>2204.8000000000002</v>
      </c>
      <c r="J8" s="119">
        <f t="shared" ref="J8:S8" si="4">SUM(J9:J10)</f>
        <v>1796.96</v>
      </c>
      <c r="K8" s="119">
        <f t="shared" si="4"/>
        <v>1747.74</v>
      </c>
      <c r="L8" s="119">
        <f t="shared" si="4"/>
        <v>1634.3</v>
      </c>
      <c r="M8" s="119">
        <f t="shared" si="4"/>
        <v>1592.71</v>
      </c>
      <c r="N8" s="119">
        <f t="shared" si="4"/>
        <v>1783.45</v>
      </c>
      <c r="O8" s="119">
        <f t="shared" si="4"/>
        <v>1740.3799999999999</v>
      </c>
      <c r="P8" s="119">
        <f t="shared" si="4"/>
        <v>1740.3400000000001</v>
      </c>
      <c r="Q8" s="119">
        <f t="shared" si="4"/>
        <v>1733.28</v>
      </c>
      <c r="R8" s="119">
        <f t="shared" si="4"/>
        <v>1837.48</v>
      </c>
      <c r="S8" s="119">
        <f t="shared" si="4"/>
        <v>0</v>
      </c>
      <c r="T8" s="27">
        <f t="shared" si="1"/>
        <v>20432.849999999995</v>
      </c>
      <c r="U8" s="27">
        <f t="shared" si="3"/>
        <v>0.15000000000509317</v>
      </c>
    </row>
    <row r="9" spans="1:21" s="64" customFormat="1" ht="11.4" outlineLevel="1">
      <c r="A9" s="38" t="s">
        <v>51</v>
      </c>
      <c r="B9" s="50" t="s">
        <v>129</v>
      </c>
      <c r="C9" s="51">
        <f>D9/D83</f>
        <v>6.5738845681539093E-2</v>
      </c>
      <c r="D9" s="54">
        <f t="shared" si="0"/>
        <v>1606</v>
      </c>
      <c r="E9" s="56">
        <v>19272</v>
      </c>
      <c r="F9" s="214">
        <v>1650.82</v>
      </c>
      <c r="G9" s="138"/>
      <c r="H9" s="128">
        <f>1618.96+300</f>
        <v>1918.96</v>
      </c>
      <c r="I9" s="128">
        <f>1604.8+600</f>
        <v>2204.8000000000002</v>
      </c>
      <c r="J9" s="62">
        <v>1739.96</v>
      </c>
      <c r="K9" s="62">
        <v>1732.24</v>
      </c>
      <c r="L9" s="62">
        <v>1634.3</v>
      </c>
      <c r="M9" s="62">
        <v>1524.56</v>
      </c>
      <c r="N9" s="62">
        <v>1783.45</v>
      </c>
      <c r="O9" s="62">
        <v>1659.08</v>
      </c>
      <c r="P9" s="62">
        <v>1698.44</v>
      </c>
      <c r="Q9" s="62">
        <v>1676.78</v>
      </c>
      <c r="R9" s="62">
        <f>1699.48</f>
        <v>1699.48</v>
      </c>
      <c r="S9" s="170"/>
      <c r="T9" s="63">
        <f t="shared" si="1"/>
        <v>19272.05</v>
      </c>
      <c r="U9" s="63">
        <f t="shared" si="3"/>
        <v>-4.9999999999272404E-2</v>
      </c>
    </row>
    <row r="10" spans="1:21" s="64" customFormat="1" ht="12" outlineLevel="1" thickBot="1">
      <c r="A10" s="39" t="s">
        <v>52</v>
      </c>
      <c r="B10" s="59" t="s">
        <v>9</v>
      </c>
      <c r="C10" s="60">
        <f>D10/D83</f>
        <v>3.9602947196070402E-3</v>
      </c>
      <c r="D10" s="55">
        <f t="shared" si="0"/>
        <v>96.75</v>
      </c>
      <c r="E10" s="76">
        <v>1161</v>
      </c>
      <c r="F10" s="188"/>
      <c r="G10" s="187">
        <v>26.45</v>
      </c>
      <c r="H10" s="129">
        <v>676</v>
      </c>
      <c r="I10" s="129"/>
      <c r="J10" s="65">
        <v>57</v>
      </c>
      <c r="K10" s="65">
        <v>15.5</v>
      </c>
      <c r="L10" s="65"/>
      <c r="M10" s="65">
        <f>28.5+39.65</f>
        <v>68.150000000000006</v>
      </c>
      <c r="N10" s="65"/>
      <c r="O10" s="65">
        <f>39.4+41.9</f>
        <v>81.3</v>
      </c>
      <c r="P10" s="65">
        <v>41.9</v>
      </c>
      <c r="Q10" s="65">
        <v>56.5</v>
      </c>
      <c r="R10" s="65">
        <v>138</v>
      </c>
      <c r="S10" s="171"/>
      <c r="T10" s="63">
        <f t="shared" si="1"/>
        <v>1160.8</v>
      </c>
      <c r="U10" s="77">
        <f t="shared" si="3"/>
        <v>0.20000000000004547</v>
      </c>
    </row>
    <row r="11" spans="1:21">
      <c r="A11" s="34">
        <v>5</v>
      </c>
      <c r="B11" s="7" t="s">
        <v>10</v>
      </c>
      <c r="C11" s="44">
        <f>D11/D83</f>
        <v>8.8439759858097974E-2</v>
      </c>
      <c r="D11" s="17">
        <f t="shared" si="0"/>
        <v>2160.5833333333335</v>
      </c>
      <c r="E11" s="75">
        <f t="shared" ref="E11:S11" si="5">SUM(E12:E13)</f>
        <v>25927</v>
      </c>
      <c r="F11" s="79">
        <f t="shared" si="5"/>
        <v>0</v>
      </c>
      <c r="G11" s="80">
        <f>SUM(G12:G13)</f>
        <v>1100</v>
      </c>
      <c r="H11" s="80">
        <f t="shared" si="5"/>
        <v>2100</v>
      </c>
      <c r="I11" s="80">
        <f t="shared" si="5"/>
        <v>6127.3099999999995</v>
      </c>
      <c r="J11" s="80">
        <f t="shared" si="5"/>
        <v>1600</v>
      </c>
      <c r="K11" s="80">
        <f t="shared" si="5"/>
        <v>1600</v>
      </c>
      <c r="L11" s="80">
        <f t="shared" si="5"/>
        <v>1600</v>
      </c>
      <c r="M11" s="80">
        <f t="shared" si="5"/>
        <v>1600</v>
      </c>
      <c r="N11" s="80">
        <f t="shared" si="5"/>
        <v>2550</v>
      </c>
      <c r="O11" s="80">
        <f t="shared" si="5"/>
        <v>2850</v>
      </c>
      <c r="P11" s="80">
        <f t="shared" si="5"/>
        <v>1600</v>
      </c>
      <c r="Q11" s="80">
        <f t="shared" si="5"/>
        <v>1600</v>
      </c>
      <c r="R11" s="80">
        <f t="shared" si="5"/>
        <v>1600</v>
      </c>
      <c r="S11" s="199">
        <f t="shared" si="5"/>
        <v>0</v>
      </c>
      <c r="T11" s="27">
        <f t="shared" si="1"/>
        <v>25927.309999999998</v>
      </c>
      <c r="U11" s="27">
        <f t="shared" si="3"/>
        <v>-0.30999999999767169</v>
      </c>
    </row>
    <row r="12" spans="1:21" s="64" customFormat="1" ht="11.4" outlineLevel="1">
      <c r="A12" s="38" t="s">
        <v>53</v>
      </c>
      <c r="B12" s="78" t="s">
        <v>11</v>
      </c>
      <c r="C12" s="51">
        <f>D12/D83</f>
        <v>6.5493246009005315E-2</v>
      </c>
      <c r="D12" s="54">
        <f t="shared" si="0"/>
        <v>1600</v>
      </c>
      <c r="E12" s="56">
        <v>19200</v>
      </c>
      <c r="F12" s="61"/>
      <c r="G12" s="189">
        <v>1100</v>
      </c>
      <c r="H12" s="82">
        <v>2100</v>
      </c>
      <c r="I12" s="82">
        <v>1600</v>
      </c>
      <c r="J12" s="81">
        <v>1600</v>
      </c>
      <c r="K12" s="81">
        <v>1600</v>
      </c>
      <c r="L12" s="81">
        <v>1600</v>
      </c>
      <c r="M12" s="81">
        <v>1600</v>
      </c>
      <c r="N12" s="81">
        <v>1600</v>
      </c>
      <c r="O12" s="81">
        <v>1600</v>
      </c>
      <c r="P12" s="81">
        <v>1600</v>
      </c>
      <c r="Q12" s="81">
        <v>1600</v>
      </c>
      <c r="R12" s="81">
        <v>1600</v>
      </c>
      <c r="S12" s="179"/>
      <c r="T12" s="63">
        <f t="shared" si="1"/>
        <v>19200</v>
      </c>
      <c r="U12" s="63">
        <f t="shared" si="3"/>
        <v>0</v>
      </c>
    </row>
    <row r="13" spans="1:21" s="64" customFormat="1" ht="11.4" outlineLevel="1">
      <c r="A13" s="38" t="s">
        <v>54</v>
      </c>
      <c r="B13" s="50" t="s">
        <v>12</v>
      </c>
      <c r="C13" s="51">
        <f>D13/D83</f>
        <v>2.2946513849092649E-2</v>
      </c>
      <c r="D13" s="54">
        <f t="shared" si="0"/>
        <v>560.58333333333337</v>
      </c>
      <c r="E13" s="56">
        <v>6727</v>
      </c>
      <c r="F13" s="190">
        <f t="shared" ref="F13:S13" si="6">SUM(F14:F15)</f>
        <v>0</v>
      </c>
      <c r="G13" s="82">
        <f t="shared" si="6"/>
        <v>0</v>
      </c>
      <c r="H13" s="82">
        <f t="shared" si="6"/>
        <v>0</v>
      </c>
      <c r="I13" s="82">
        <f t="shared" si="6"/>
        <v>4527.3099999999995</v>
      </c>
      <c r="J13" s="82">
        <f t="shared" si="6"/>
        <v>0</v>
      </c>
      <c r="K13" s="82">
        <f t="shared" si="6"/>
        <v>0</v>
      </c>
      <c r="L13" s="82">
        <f t="shared" si="6"/>
        <v>0</v>
      </c>
      <c r="M13" s="82">
        <f t="shared" si="6"/>
        <v>0</v>
      </c>
      <c r="N13" s="82">
        <f t="shared" si="6"/>
        <v>950</v>
      </c>
      <c r="O13" s="82">
        <f t="shared" si="6"/>
        <v>1250</v>
      </c>
      <c r="P13" s="82">
        <f t="shared" si="6"/>
        <v>0</v>
      </c>
      <c r="Q13" s="82">
        <f t="shared" si="6"/>
        <v>0</v>
      </c>
      <c r="R13" s="82">
        <f t="shared" si="6"/>
        <v>0</v>
      </c>
      <c r="S13" s="200">
        <f t="shared" si="6"/>
        <v>0</v>
      </c>
      <c r="T13" s="210">
        <f t="shared" ref="T13:T21" si="7">SUM(F13:S13)</f>
        <v>6727.3099999999995</v>
      </c>
      <c r="U13" s="63">
        <f t="shared" si="3"/>
        <v>-0.30999999999949068</v>
      </c>
    </row>
    <row r="14" spans="1:21" s="12" customFormat="1" ht="10.199999999999999" outlineLevel="2">
      <c r="A14" s="36" t="s">
        <v>55</v>
      </c>
      <c r="B14" s="3" t="s">
        <v>13</v>
      </c>
      <c r="C14" s="45"/>
      <c r="D14" s="18">
        <f t="shared" si="0"/>
        <v>145.83333333333334</v>
      </c>
      <c r="E14" s="110">
        <v>1750</v>
      </c>
      <c r="F14" s="83"/>
      <c r="G14" s="139"/>
      <c r="H14" s="130"/>
      <c r="I14" s="130">
        <v>1250</v>
      </c>
      <c r="J14" s="84"/>
      <c r="K14" s="84"/>
      <c r="L14" s="84"/>
      <c r="M14" s="84"/>
      <c r="N14" s="84">
        <v>250</v>
      </c>
      <c r="O14" s="84">
        <v>250</v>
      </c>
      <c r="P14" s="84"/>
      <c r="Q14" s="84"/>
      <c r="R14" s="84"/>
      <c r="S14" s="180"/>
      <c r="T14" s="21">
        <f t="shared" si="7"/>
        <v>1750</v>
      </c>
      <c r="U14" s="21">
        <f t="shared" si="3"/>
        <v>0</v>
      </c>
    </row>
    <row r="15" spans="1:21" s="12" customFormat="1" ht="10.8" outlineLevel="2" thickBot="1">
      <c r="A15" s="37" t="s">
        <v>56</v>
      </c>
      <c r="B15" s="4" t="s">
        <v>98</v>
      </c>
      <c r="C15" s="46"/>
      <c r="D15" s="19">
        <f t="shared" si="0"/>
        <v>414.75</v>
      </c>
      <c r="E15" s="111">
        <v>4977</v>
      </c>
      <c r="F15" s="85"/>
      <c r="G15" s="140"/>
      <c r="H15" s="131"/>
      <c r="I15" s="131">
        <f>599.95+600+677.4+699.98+699.98</f>
        <v>3277.31</v>
      </c>
      <c r="J15" s="86"/>
      <c r="K15" s="86"/>
      <c r="L15" s="86"/>
      <c r="M15" s="86"/>
      <c r="N15" s="86">
        <v>700</v>
      </c>
      <c r="O15" s="86">
        <v>1000</v>
      </c>
      <c r="P15" s="86"/>
      <c r="Q15" s="86"/>
      <c r="R15" s="86"/>
      <c r="S15" s="181"/>
      <c r="T15" s="211">
        <f t="shared" si="7"/>
        <v>4977.3099999999995</v>
      </c>
      <c r="U15" s="28">
        <f t="shared" si="3"/>
        <v>-0.30999999999949068</v>
      </c>
    </row>
    <row r="16" spans="1:21" ht="13.8" thickBot="1">
      <c r="A16" s="35">
        <v>6</v>
      </c>
      <c r="B16" s="6" t="s">
        <v>14</v>
      </c>
      <c r="C16" s="43">
        <f>D16/D83</f>
        <v>8.2685223086369219E-3</v>
      </c>
      <c r="D16" s="16">
        <f t="shared" si="0"/>
        <v>202</v>
      </c>
      <c r="E16" s="74">
        <v>2424</v>
      </c>
      <c r="F16" s="87"/>
      <c r="G16" s="141"/>
      <c r="H16" s="132"/>
      <c r="I16" s="132"/>
      <c r="J16" s="88"/>
      <c r="K16" s="88"/>
      <c r="L16" s="88">
        <v>2424</v>
      </c>
      <c r="M16" s="132"/>
      <c r="N16" s="88"/>
      <c r="O16" s="88"/>
      <c r="P16" s="88"/>
      <c r="Q16" s="88"/>
      <c r="R16" s="88"/>
      <c r="S16" s="172"/>
      <c r="T16" s="25">
        <f>SUM(G16:S16)</f>
        <v>2424</v>
      </c>
      <c r="U16" s="25">
        <f t="shared" si="3"/>
        <v>0</v>
      </c>
    </row>
    <row r="17" spans="1:21">
      <c r="A17" s="34">
        <v>7</v>
      </c>
      <c r="B17" s="7" t="s">
        <v>97</v>
      </c>
      <c r="C17" s="44">
        <f>D17/D83</f>
        <v>0.36478032473734484</v>
      </c>
      <c r="D17" s="17">
        <f t="shared" si="0"/>
        <v>8911.5833333333339</v>
      </c>
      <c r="E17" s="75">
        <f>SUM(E18:E20)</f>
        <v>106939</v>
      </c>
      <c r="F17" s="89">
        <f t="shared" ref="F17:S17" si="8">SUM(F18:F20)</f>
        <v>0</v>
      </c>
      <c r="G17" s="90">
        <f>SUM(G18:G20)</f>
        <v>3290</v>
      </c>
      <c r="H17" s="90">
        <f t="shared" si="8"/>
        <v>75193</v>
      </c>
      <c r="I17" s="90">
        <f t="shared" si="8"/>
        <v>612.99</v>
      </c>
      <c r="J17" s="90">
        <f t="shared" si="8"/>
        <v>2935</v>
      </c>
      <c r="K17" s="90">
        <f t="shared" si="8"/>
        <v>4504</v>
      </c>
      <c r="L17" s="90">
        <f t="shared" si="8"/>
        <v>1036</v>
      </c>
      <c r="M17" s="90">
        <f t="shared" si="8"/>
        <v>0</v>
      </c>
      <c r="N17" s="90">
        <f t="shared" si="8"/>
        <v>694.5</v>
      </c>
      <c r="O17" s="90">
        <f t="shared" si="8"/>
        <v>4828</v>
      </c>
      <c r="P17" s="90">
        <f t="shared" si="8"/>
        <v>300</v>
      </c>
      <c r="Q17" s="90">
        <f t="shared" si="8"/>
        <v>8030</v>
      </c>
      <c r="R17" s="90">
        <f t="shared" si="8"/>
        <v>5515.6</v>
      </c>
      <c r="S17" s="201">
        <f t="shared" si="8"/>
        <v>0</v>
      </c>
      <c r="T17" s="27">
        <f>SUM(G17:S17)</f>
        <v>106939.09000000001</v>
      </c>
      <c r="U17" s="27">
        <f t="shared" si="3"/>
        <v>-9.0000000011059456E-2</v>
      </c>
    </row>
    <row r="18" spans="1:21" s="64" customFormat="1" ht="11.4" outlineLevel="1">
      <c r="A18" s="38" t="s">
        <v>57</v>
      </c>
      <c r="B18" s="50" t="s">
        <v>175</v>
      </c>
      <c r="C18" s="51">
        <f>D18/D83</f>
        <v>4.4627507163323782E-2</v>
      </c>
      <c r="D18" s="54">
        <f t="shared" si="0"/>
        <v>1090.25</v>
      </c>
      <c r="E18" s="56">
        <v>13083</v>
      </c>
      <c r="F18" s="61"/>
      <c r="G18" s="123">
        <f>2230+460</f>
        <v>2690</v>
      </c>
      <c r="H18" s="96">
        <v>12</v>
      </c>
      <c r="I18" s="96">
        <v>42.99</v>
      </c>
      <c r="J18" s="94">
        <v>69</v>
      </c>
      <c r="K18" s="94">
        <f>3557+65+142</f>
        <v>3764</v>
      </c>
      <c r="L18" s="94"/>
      <c r="M18" s="94"/>
      <c r="N18" s="94">
        <v>694.5</v>
      </c>
      <c r="O18" s="94"/>
      <c r="P18" s="94"/>
      <c r="Q18" s="94">
        <v>295</v>
      </c>
      <c r="R18" s="94">
        <f>5315.6+200</f>
        <v>5515.6</v>
      </c>
      <c r="S18" s="173"/>
      <c r="T18" s="63">
        <f>SUM(G18:S18)</f>
        <v>13083.09</v>
      </c>
      <c r="U18" s="63">
        <f t="shared" si="3"/>
        <v>-9.0000000000145519E-2</v>
      </c>
    </row>
    <row r="19" spans="1:21" s="64" customFormat="1" ht="11.4" outlineLevel="1">
      <c r="A19" s="38" t="s">
        <v>58</v>
      </c>
      <c r="B19" s="50" t="s">
        <v>103</v>
      </c>
      <c r="C19" s="51">
        <f>D19/D83</f>
        <v>1.9361440851412198E-2</v>
      </c>
      <c r="D19" s="54">
        <f t="shared" si="0"/>
        <v>473</v>
      </c>
      <c r="E19" s="56">
        <v>5676</v>
      </c>
      <c r="F19" s="186"/>
      <c r="G19" s="123">
        <v>600</v>
      </c>
      <c r="H19" s="96">
        <v>600</v>
      </c>
      <c r="I19" s="96">
        <v>570</v>
      </c>
      <c r="J19" s="94">
        <v>2866</v>
      </c>
      <c r="K19" s="94">
        <f>300+440</f>
        <v>740</v>
      </c>
      <c r="L19" s="94"/>
      <c r="M19" s="94"/>
      <c r="N19" s="94"/>
      <c r="O19" s="94"/>
      <c r="P19" s="94">
        <v>300</v>
      </c>
      <c r="Q19" s="94"/>
      <c r="R19" s="94"/>
      <c r="S19" s="173"/>
      <c r="T19" s="63">
        <f>SUM(G19:S19)</f>
        <v>5676</v>
      </c>
      <c r="U19" s="63">
        <f t="shared" si="3"/>
        <v>0</v>
      </c>
    </row>
    <row r="20" spans="1:21" s="64" customFormat="1" ht="11.4" outlineLevel="1">
      <c r="A20" s="38" t="s">
        <v>59</v>
      </c>
      <c r="B20" s="50" t="s">
        <v>96</v>
      </c>
      <c r="C20" s="51">
        <f>D20/D83</f>
        <v>0.30079137672260881</v>
      </c>
      <c r="D20" s="54">
        <f t="shared" si="0"/>
        <v>7348.333333333333</v>
      </c>
      <c r="E20" s="56">
        <f>SUM(E21:E27)</f>
        <v>88180</v>
      </c>
      <c r="F20" s="95">
        <f t="shared" ref="F20:S20" si="9">SUM(F21:F27)</f>
        <v>0</v>
      </c>
      <c r="G20" s="96">
        <f t="shared" si="9"/>
        <v>0</v>
      </c>
      <c r="H20" s="96">
        <f t="shared" si="9"/>
        <v>74581</v>
      </c>
      <c r="I20" s="96">
        <f t="shared" si="9"/>
        <v>0</v>
      </c>
      <c r="J20" s="96">
        <f t="shared" si="9"/>
        <v>0</v>
      </c>
      <c r="K20" s="96">
        <f t="shared" si="9"/>
        <v>0</v>
      </c>
      <c r="L20" s="96">
        <f t="shared" si="9"/>
        <v>1036</v>
      </c>
      <c r="M20" s="96">
        <f t="shared" si="9"/>
        <v>0</v>
      </c>
      <c r="N20" s="96">
        <f t="shared" si="9"/>
        <v>0</v>
      </c>
      <c r="O20" s="96">
        <f t="shared" si="9"/>
        <v>4828</v>
      </c>
      <c r="P20" s="96">
        <f t="shared" si="9"/>
        <v>0</v>
      </c>
      <c r="Q20" s="96">
        <f t="shared" si="9"/>
        <v>7735</v>
      </c>
      <c r="R20" s="96">
        <f t="shared" si="9"/>
        <v>0</v>
      </c>
      <c r="S20" s="202">
        <f t="shared" si="9"/>
        <v>0</v>
      </c>
      <c r="T20" s="63">
        <f t="shared" si="7"/>
        <v>88180</v>
      </c>
      <c r="U20" s="63">
        <f t="shared" si="3"/>
        <v>0</v>
      </c>
    </row>
    <row r="21" spans="1:21" s="12" customFormat="1" ht="10.199999999999999" outlineLevel="2">
      <c r="A21" s="36" t="s">
        <v>91</v>
      </c>
      <c r="B21" s="3" t="s">
        <v>194</v>
      </c>
      <c r="C21" s="45"/>
      <c r="D21" s="18">
        <f t="shared" si="0"/>
        <v>112.66666666666667</v>
      </c>
      <c r="E21" s="110">
        <v>1352</v>
      </c>
      <c r="F21" s="145"/>
      <c r="G21" s="142"/>
      <c r="H21" s="133">
        <v>1352</v>
      </c>
      <c r="I21" s="133"/>
      <c r="J21" s="98"/>
      <c r="K21" s="98"/>
      <c r="L21" s="98"/>
      <c r="M21" s="98"/>
      <c r="N21" s="98"/>
      <c r="O21" s="98"/>
      <c r="P21" s="98"/>
      <c r="Q21" s="98"/>
      <c r="R21" s="98"/>
      <c r="S21" s="176"/>
      <c r="T21" s="21">
        <f t="shared" si="7"/>
        <v>1352</v>
      </c>
      <c r="U21" s="21">
        <f t="shared" si="3"/>
        <v>0</v>
      </c>
    </row>
    <row r="22" spans="1:21" s="12" customFormat="1" ht="10.199999999999999" outlineLevel="2">
      <c r="A22" s="36" t="s">
        <v>92</v>
      </c>
      <c r="B22" s="101" t="s">
        <v>101</v>
      </c>
      <c r="C22" s="102"/>
      <c r="D22" s="103">
        <f t="shared" si="0"/>
        <v>2427.9166666666665</v>
      </c>
      <c r="E22" s="112">
        <v>29135</v>
      </c>
      <c r="F22" s="97"/>
      <c r="G22" s="142"/>
      <c r="H22" s="133">
        <v>29135</v>
      </c>
      <c r="I22" s="133"/>
      <c r="J22" s="98"/>
      <c r="K22" s="98"/>
      <c r="L22" s="98"/>
      <c r="M22" s="98"/>
      <c r="N22" s="98"/>
      <c r="O22" s="98"/>
      <c r="P22" s="98"/>
      <c r="Q22" s="98"/>
      <c r="R22" s="98"/>
      <c r="S22" s="176"/>
      <c r="T22" s="21">
        <f t="shared" ref="T22:T27" si="10">SUM(F22:S22)</f>
        <v>29135</v>
      </c>
      <c r="U22" s="21">
        <f t="shared" si="3"/>
        <v>0</v>
      </c>
    </row>
    <row r="23" spans="1:21" s="12" customFormat="1" ht="10.199999999999999" outlineLevel="2">
      <c r="A23" s="36" t="s">
        <v>99</v>
      </c>
      <c r="B23" s="101" t="s">
        <v>118</v>
      </c>
      <c r="C23" s="102"/>
      <c r="D23" s="103">
        <f t="shared" si="0"/>
        <v>401.25</v>
      </c>
      <c r="E23" s="112">
        <v>4815</v>
      </c>
      <c r="F23" s="97"/>
      <c r="G23" s="142"/>
      <c r="H23" s="133">
        <v>4815</v>
      </c>
      <c r="I23" s="133"/>
      <c r="J23" s="98"/>
      <c r="K23" s="98"/>
      <c r="L23" s="98"/>
      <c r="M23" s="98"/>
      <c r="N23" s="98"/>
      <c r="O23" s="98"/>
      <c r="P23" s="98"/>
      <c r="Q23" s="98"/>
      <c r="R23" s="98"/>
      <c r="S23" s="176"/>
      <c r="T23" s="21">
        <f t="shared" si="10"/>
        <v>4815</v>
      </c>
      <c r="U23" s="21">
        <f t="shared" si="3"/>
        <v>0</v>
      </c>
    </row>
    <row r="24" spans="1:21" s="12" customFormat="1" ht="10.199999999999999" outlineLevel="2">
      <c r="A24" s="36" t="s">
        <v>100</v>
      </c>
      <c r="B24" s="101" t="s">
        <v>135</v>
      </c>
      <c r="C24" s="102"/>
      <c r="D24" s="103">
        <f t="shared" si="0"/>
        <v>2919.5833333333335</v>
      </c>
      <c r="E24" s="112">
        <v>35035</v>
      </c>
      <c r="F24" s="97"/>
      <c r="G24" s="142"/>
      <c r="H24" s="133">
        <v>27300</v>
      </c>
      <c r="I24" s="133"/>
      <c r="J24" s="98"/>
      <c r="K24" s="98"/>
      <c r="L24" s="98"/>
      <c r="M24" s="98"/>
      <c r="N24" s="98"/>
      <c r="O24" s="98"/>
      <c r="P24" s="98"/>
      <c r="Q24" s="98">
        <v>7735</v>
      </c>
      <c r="R24" s="98"/>
      <c r="S24" s="176"/>
      <c r="T24" s="21">
        <f t="shared" si="10"/>
        <v>35035</v>
      </c>
      <c r="U24" s="21">
        <f t="shared" si="3"/>
        <v>0</v>
      </c>
    </row>
    <row r="25" spans="1:21" s="12" customFormat="1" ht="10.199999999999999" outlineLevel="2">
      <c r="A25" s="36" t="s">
        <v>102</v>
      </c>
      <c r="B25" s="101" t="s">
        <v>133</v>
      </c>
      <c r="C25" s="102"/>
      <c r="D25" s="103">
        <f t="shared" si="0"/>
        <v>246.58333333333334</v>
      </c>
      <c r="E25" s="112">
        <v>2959</v>
      </c>
      <c r="F25" s="105"/>
      <c r="G25" s="143"/>
      <c r="H25" s="134">
        <v>2959</v>
      </c>
      <c r="I25" s="134"/>
      <c r="J25" s="106"/>
      <c r="K25" s="106"/>
      <c r="L25" s="106"/>
      <c r="M25" s="106"/>
      <c r="N25" s="106"/>
      <c r="O25" s="106"/>
      <c r="P25" s="106"/>
      <c r="Q25" s="106"/>
      <c r="R25" s="106"/>
      <c r="S25" s="203"/>
      <c r="T25" s="21">
        <f t="shared" si="10"/>
        <v>2959</v>
      </c>
      <c r="U25" s="21">
        <f t="shared" si="3"/>
        <v>0</v>
      </c>
    </row>
    <row r="26" spans="1:21" s="12" customFormat="1" ht="10.199999999999999" outlineLevel="2">
      <c r="A26" s="36" t="s">
        <v>130</v>
      </c>
      <c r="B26" s="101" t="s">
        <v>134</v>
      </c>
      <c r="C26" s="102"/>
      <c r="D26" s="18">
        <f t="shared" si="0"/>
        <v>523.16666666666663</v>
      </c>
      <c r="E26" s="112">
        <v>6278</v>
      </c>
      <c r="F26" s="105"/>
      <c r="G26" s="143"/>
      <c r="H26" s="134">
        <v>6278</v>
      </c>
      <c r="I26" s="134"/>
      <c r="J26" s="106"/>
      <c r="K26" s="106"/>
      <c r="L26" s="106"/>
      <c r="M26" s="106"/>
      <c r="N26" s="106"/>
      <c r="O26" s="106"/>
      <c r="P26" s="106"/>
      <c r="Q26" s="106"/>
      <c r="R26" s="106"/>
      <c r="S26" s="203"/>
      <c r="T26" s="21">
        <f t="shared" si="10"/>
        <v>6278</v>
      </c>
      <c r="U26" s="21">
        <f t="shared" si="3"/>
        <v>0</v>
      </c>
    </row>
    <row r="27" spans="1:21" s="12" customFormat="1" ht="10.8" outlineLevel="2" thickBot="1">
      <c r="A27" s="36" t="s">
        <v>131</v>
      </c>
      <c r="B27" s="4" t="s">
        <v>132</v>
      </c>
      <c r="C27" s="104"/>
      <c r="D27" s="19">
        <f t="shared" si="0"/>
        <v>717.16666666666663</v>
      </c>
      <c r="E27" s="111">
        <v>8606</v>
      </c>
      <c r="F27" s="105"/>
      <c r="G27" s="143"/>
      <c r="H27" s="134">
        <v>2742</v>
      </c>
      <c r="I27" s="134"/>
      <c r="J27" s="106"/>
      <c r="K27" s="106"/>
      <c r="L27" s="106">
        <v>1036</v>
      </c>
      <c r="M27" s="106"/>
      <c r="N27" s="106"/>
      <c r="O27" s="106">
        <f>229+4599</f>
        <v>4828</v>
      </c>
      <c r="P27" s="106"/>
      <c r="Q27" s="106"/>
      <c r="R27" s="106"/>
      <c r="S27" s="203"/>
      <c r="T27" s="21">
        <f t="shared" si="10"/>
        <v>8606</v>
      </c>
      <c r="U27" s="28">
        <f t="shared" si="3"/>
        <v>0</v>
      </c>
    </row>
    <row r="28" spans="1:21">
      <c r="A28" s="34">
        <v>8</v>
      </c>
      <c r="B28" s="7" t="s">
        <v>15</v>
      </c>
      <c r="C28" s="44">
        <f>D28/D83</f>
        <v>5.2814162914449445E-2</v>
      </c>
      <c r="D28" s="17">
        <f t="shared" si="0"/>
        <v>1290.25</v>
      </c>
      <c r="E28" s="75">
        <f>SUM(E29:E33)</f>
        <v>15483</v>
      </c>
      <c r="F28" s="89">
        <f t="shared" ref="F28:S28" si="11">SUM(F29:F33)</f>
        <v>0</v>
      </c>
      <c r="G28" s="90">
        <f t="shared" si="11"/>
        <v>2375</v>
      </c>
      <c r="H28" s="90">
        <f t="shared" si="11"/>
        <v>963.9</v>
      </c>
      <c r="I28" s="90">
        <f t="shared" si="11"/>
        <v>935.7</v>
      </c>
      <c r="J28" s="90">
        <f t="shared" si="11"/>
        <v>584</v>
      </c>
      <c r="K28" s="90">
        <f t="shared" si="11"/>
        <v>1599.8</v>
      </c>
      <c r="L28" s="90">
        <f t="shared" si="11"/>
        <v>3055.8</v>
      </c>
      <c r="M28" s="90">
        <f t="shared" si="11"/>
        <v>644.5</v>
      </c>
      <c r="N28" s="90">
        <f t="shared" si="11"/>
        <v>826.69999999999993</v>
      </c>
      <c r="O28" s="90">
        <f t="shared" si="11"/>
        <v>1530</v>
      </c>
      <c r="P28" s="90">
        <f t="shared" si="11"/>
        <v>2040.8</v>
      </c>
      <c r="Q28" s="90">
        <f t="shared" si="11"/>
        <v>0</v>
      </c>
      <c r="R28" s="90">
        <f t="shared" si="11"/>
        <v>927.2</v>
      </c>
      <c r="S28" s="201">
        <f t="shared" si="11"/>
        <v>0</v>
      </c>
      <c r="T28" s="27">
        <f>SUM(G28:S28)</f>
        <v>15483.400000000001</v>
      </c>
      <c r="U28" s="27">
        <f t="shared" si="3"/>
        <v>-0.40000000000145519</v>
      </c>
    </row>
    <row r="29" spans="1:21" s="64" customFormat="1" ht="11.4" outlineLevel="1">
      <c r="A29" s="38" t="s">
        <v>60</v>
      </c>
      <c r="B29" s="50" t="s">
        <v>16</v>
      </c>
      <c r="C29" s="51">
        <f>D29/D83</f>
        <v>1.4562013917314777E-2</v>
      </c>
      <c r="D29" s="54">
        <f t="shared" si="0"/>
        <v>355.75</v>
      </c>
      <c r="E29" s="56">
        <v>4269</v>
      </c>
      <c r="F29" s="93"/>
      <c r="G29" s="123"/>
      <c r="H29" s="96">
        <f>552.9+288</f>
        <v>840.9</v>
      </c>
      <c r="I29" s="135"/>
      <c r="J29" s="94"/>
      <c r="K29" s="94"/>
      <c r="L29" s="94">
        <v>500</v>
      </c>
      <c r="M29" s="94"/>
      <c r="N29" s="94"/>
      <c r="O29" s="94"/>
      <c r="P29" s="94">
        <v>2040.8</v>
      </c>
      <c r="Q29" s="94"/>
      <c r="R29" s="94">
        <f>887.2</f>
        <v>887.2</v>
      </c>
      <c r="S29" s="173"/>
      <c r="T29" s="63">
        <f t="shared" ref="T29:T38" si="12">SUM(G29:S29)</f>
        <v>4268.8999999999996</v>
      </c>
      <c r="U29" s="63">
        <f t="shared" si="3"/>
        <v>0.1000000000003638</v>
      </c>
    </row>
    <row r="30" spans="1:21" s="64" customFormat="1" ht="11.4" outlineLevel="1">
      <c r="A30" s="38" t="s">
        <v>61</v>
      </c>
      <c r="B30" s="50" t="s">
        <v>17</v>
      </c>
      <c r="C30" s="51">
        <f>D30/D83</f>
        <v>1.7311365807067814E-2</v>
      </c>
      <c r="D30" s="54">
        <f t="shared" si="0"/>
        <v>422.91666666666669</v>
      </c>
      <c r="E30" s="56">
        <v>5075</v>
      </c>
      <c r="F30" s="93"/>
      <c r="G30" s="123"/>
      <c r="H30" s="96"/>
      <c r="I30" s="96">
        <f>3+932.7</f>
        <v>935.7</v>
      </c>
      <c r="J30" s="94"/>
      <c r="K30" s="94">
        <v>707</v>
      </c>
      <c r="L30" s="94">
        <v>1174</v>
      </c>
      <c r="M30" s="94">
        <v>644.5</v>
      </c>
      <c r="N30" s="94">
        <f>24+20</f>
        <v>44</v>
      </c>
      <c r="O30" s="94">
        <v>1530</v>
      </c>
      <c r="P30" s="94"/>
      <c r="Q30" s="94"/>
      <c r="R30" s="94">
        <f>40</f>
        <v>40</v>
      </c>
      <c r="S30" s="173"/>
      <c r="T30" s="63">
        <f t="shared" si="12"/>
        <v>5075.2</v>
      </c>
      <c r="U30" s="63">
        <f t="shared" si="3"/>
        <v>-0.1999999999998181</v>
      </c>
    </row>
    <row r="31" spans="1:21" s="64" customFormat="1" ht="11.4" outlineLevel="1">
      <c r="A31" s="38" t="s">
        <v>62</v>
      </c>
      <c r="B31" s="50" t="s">
        <v>18</v>
      </c>
      <c r="C31" s="51">
        <f>D31/D83</f>
        <v>8.8654659571565028E-3</v>
      </c>
      <c r="D31" s="54">
        <f t="shared" si="0"/>
        <v>216.58333333333334</v>
      </c>
      <c r="E31" s="56">
        <v>2599</v>
      </c>
      <c r="F31" s="93"/>
      <c r="G31" s="123"/>
      <c r="H31" s="96"/>
      <c r="I31" s="96"/>
      <c r="J31" s="94">
        <v>584</v>
      </c>
      <c r="K31" s="94">
        <v>892.8</v>
      </c>
      <c r="L31" s="94">
        <f>90+249.8</f>
        <v>339.8</v>
      </c>
      <c r="M31" s="94"/>
      <c r="N31" s="94">
        <f>258.9+523.8</f>
        <v>782.69999999999993</v>
      </c>
      <c r="O31" s="94"/>
      <c r="P31" s="94"/>
      <c r="Q31" s="94"/>
      <c r="R31" s="94"/>
      <c r="S31" s="173"/>
      <c r="T31" s="63">
        <f t="shared" si="12"/>
        <v>2599.2999999999997</v>
      </c>
      <c r="U31" s="63">
        <f t="shared" si="3"/>
        <v>-0.29999999999972715</v>
      </c>
    </row>
    <row r="32" spans="1:21" s="64" customFormat="1" ht="11.4" outlineLevel="1">
      <c r="A32" s="38" t="s">
        <v>63</v>
      </c>
      <c r="B32" s="50" t="s">
        <v>19</v>
      </c>
      <c r="C32" s="51">
        <f>D32/D83</f>
        <v>1.2075317232910356E-2</v>
      </c>
      <c r="D32" s="54">
        <f t="shared" si="0"/>
        <v>295</v>
      </c>
      <c r="E32" s="56">
        <v>3540</v>
      </c>
      <c r="F32" s="61"/>
      <c r="G32" s="191">
        <v>2375</v>
      </c>
      <c r="H32" s="96">
        <v>123</v>
      </c>
      <c r="I32" s="96"/>
      <c r="J32" s="94"/>
      <c r="K32" s="94"/>
      <c r="L32" s="94">
        <f>222+820</f>
        <v>1042</v>
      </c>
      <c r="M32" s="94"/>
      <c r="N32" s="94"/>
      <c r="O32" s="94"/>
      <c r="P32" s="94"/>
      <c r="Q32" s="94"/>
      <c r="R32" s="94"/>
      <c r="S32" s="173"/>
      <c r="T32" s="63">
        <f t="shared" si="12"/>
        <v>3540</v>
      </c>
      <c r="U32" s="63">
        <f t="shared" si="3"/>
        <v>0</v>
      </c>
    </row>
    <row r="33" spans="1:21" s="64" customFormat="1" ht="12" outlineLevel="1" thickBot="1">
      <c r="A33" s="39" t="s">
        <v>64</v>
      </c>
      <c r="B33" s="59" t="s">
        <v>136</v>
      </c>
      <c r="C33" s="60">
        <f>D33/D83</f>
        <v>0</v>
      </c>
      <c r="D33" s="55">
        <f t="shared" si="0"/>
        <v>0</v>
      </c>
      <c r="E33" s="76">
        <v>0</v>
      </c>
      <c r="F33" s="150"/>
      <c r="G33" s="144"/>
      <c r="H33" s="136"/>
      <c r="I33" s="136"/>
      <c r="J33" s="100"/>
      <c r="K33" s="100"/>
      <c r="L33" s="100"/>
      <c r="M33" s="100"/>
      <c r="N33" s="100"/>
      <c r="O33" s="100"/>
      <c r="P33" s="100"/>
      <c r="Q33" s="100"/>
      <c r="R33" s="100"/>
      <c r="S33" s="174"/>
      <c r="T33" s="63">
        <f t="shared" si="12"/>
        <v>0</v>
      </c>
      <c r="U33" s="77">
        <f t="shared" si="3"/>
        <v>0</v>
      </c>
    </row>
    <row r="34" spans="1:21" ht="26.4">
      <c r="A34" s="34">
        <v>9</v>
      </c>
      <c r="B34" s="8" t="s">
        <v>20</v>
      </c>
      <c r="C34" s="48">
        <f>D34/D83</f>
        <v>1.8527527629963161</v>
      </c>
      <c r="D34" s="49">
        <f t="shared" si="0"/>
        <v>45262.75</v>
      </c>
      <c r="E34" s="113">
        <f>SUM(E35:E46)</f>
        <v>543153</v>
      </c>
      <c r="F34" s="91">
        <f>SUM(F35:F46)</f>
        <v>3700</v>
      </c>
      <c r="G34" s="92">
        <f>SUM(G35:G46)</f>
        <v>2529</v>
      </c>
      <c r="H34" s="92">
        <f>SUM(H35:H46)</f>
        <v>13597</v>
      </c>
      <c r="I34" s="92">
        <f t="shared" ref="I34:S34" si="13">SUM(I35:I46)</f>
        <v>26689</v>
      </c>
      <c r="J34" s="92">
        <f t="shared" si="13"/>
        <v>7148</v>
      </c>
      <c r="K34" s="92">
        <f t="shared" si="13"/>
        <v>32436</v>
      </c>
      <c r="L34" s="92">
        <f t="shared" si="13"/>
        <v>138360</v>
      </c>
      <c r="M34" s="92">
        <f t="shared" si="13"/>
        <v>43257</v>
      </c>
      <c r="N34" s="92">
        <f t="shared" si="13"/>
        <v>34447</v>
      </c>
      <c r="O34" s="92">
        <f t="shared" si="13"/>
        <v>109597</v>
      </c>
      <c r="P34" s="92">
        <f t="shared" si="13"/>
        <v>32436</v>
      </c>
      <c r="Q34" s="92">
        <f t="shared" si="13"/>
        <v>9700</v>
      </c>
      <c r="R34" s="92">
        <f t="shared" si="13"/>
        <v>24497</v>
      </c>
      <c r="S34" s="204">
        <f t="shared" si="13"/>
        <v>68460</v>
      </c>
      <c r="T34" s="27">
        <f>SUM(G34:S34)</f>
        <v>543153</v>
      </c>
      <c r="U34" s="27">
        <f t="shared" si="3"/>
        <v>0</v>
      </c>
    </row>
    <row r="35" spans="1:21" s="64" customFormat="1" ht="11.4" outlineLevel="1">
      <c r="A35" s="38" t="s">
        <v>65</v>
      </c>
      <c r="B35" s="50" t="s">
        <v>147</v>
      </c>
      <c r="C35" s="51">
        <f>D35/D83</f>
        <v>4.911993450675399E-2</v>
      </c>
      <c r="D35" s="54">
        <f t="shared" si="0"/>
        <v>1200</v>
      </c>
      <c r="E35" s="56">
        <v>14400</v>
      </c>
      <c r="F35" s="183">
        <v>1200</v>
      </c>
      <c r="G35" s="96"/>
      <c r="H35" s="96">
        <v>1200</v>
      </c>
      <c r="I35" s="96">
        <v>1200</v>
      </c>
      <c r="J35" s="96">
        <v>1200</v>
      </c>
      <c r="K35" s="96">
        <v>1200</v>
      </c>
      <c r="L35" s="96">
        <v>1200</v>
      </c>
      <c r="M35" s="96">
        <v>1200</v>
      </c>
      <c r="N35" s="96">
        <v>1200</v>
      </c>
      <c r="O35" s="96">
        <v>1200</v>
      </c>
      <c r="P35" s="96">
        <v>1200</v>
      </c>
      <c r="Q35" s="94">
        <v>1200</v>
      </c>
      <c r="R35" s="94">
        <v>1200</v>
      </c>
      <c r="S35" s="173">
        <v>1200</v>
      </c>
      <c r="T35" s="63">
        <f t="shared" si="12"/>
        <v>14400</v>
      </c>
      <c r="U35" s="63">
        <f t="shared" si="3"/>
        <v>0</v>
      </c>
    </row>
    <row r="36" spans="1:21" s="64" customFormat="1" ht="11.4" outlineLevel="1">
      <c r="A36" s="38" t="s">
        <v>66</v>
      </c>
      <c r="B36" s="107" t="s">
        <v>75</v>
      </c>
      <c r="C36" s="51">
        <f>D36/D83</f>
        <v>0.11919088552326375</v>
      </c>
      <c r="D36" s="54">
        <f t="shared" si="0"/>
        <v>2911.8333333333335</v>
      </c>
      <c r="E36" s="56">
        <v>34942</v>
      </c>
      <c r="F36" s="61"/>
      <c r="G36" s="191">
        <v>2529</v>
      </c>
      <c r="H36" s="96"/>
      <c r="I36" s="96"/>
      <c r="J36" s="94"/>
      <c r="K36" s="94"/>
      <c r="L36" s="94"/>
      <c r="M36" s="94">
        <v>17816</v>
      </c>
      <c r="N36" s="94"/>
      <c r="O36" s="94"/>
      <c r="P36" s="94"/>
      <c r="Q36" s="94"/>
      <c r="R36" s="94">
        <v>14597</v>
      </c>
      <c r="S36" s="173"/>
      <c r="T36" s="63">
        <f t="shared" si="12"/>
        <v>34942</v>
      </c>
      <c r="U36" s="63">
        <f t="shared" si="3"/>
        <v>0</v>
      </c>
    </row>
    <row r="37" spans="1:21" s="64" customFormat="1" ht="11.4" outlineLevel="1">
      <c r="A37" s="38" t="s">
        <v>67</v>
      </c>
      <c r="B37" s="108" t="s">
        <v>21</v>
      </c>
      <c r="C37" s="51">
        <f>D37/D83</f>
        <v>0.10233319688907082</v>
      </c>
      <c r="D37" s="54">
        <f t="shared" si="0"/>
        <v>2500</v>
      </c>
      <c r="E37" s="56">
        <v>30000</v>
      </c>
      <c r="F37" s="192">
        <v>2500</v>
      </c>
      <c r="G37" s="123"/>
      <c r="H37" s="96">
        <v>2500</v>
      </c>
      <c r="I37" s="96">
        <v>2500</v>
      </c>
      <c r="J37" s="96">
        <v>2500</v>
      </c>
      <c r="K37" s="96">
        <v>2500</v>
      </c>
      <c r="L37" s="96">
        <v>2500</v>
      </c>
      <c r="M37" s="96">
        <v>2500</v>
      </c>
      <c r="N37" s="96">
        <v>2500</v>
      </c>
      <c r="O37" s="96">
        <v>2500</v>
      </c>
      <c r="P37" s="96">
        <v>2500</v>
      </c>
      <c r="Q37" s="96">
        <v>2500</v>
      </c>
      <c r="R37" s="96">
        <v>2500</v>
      </c>
      <c r="S37" s="173">
        <v>2500</v>
      </c>
      <c r="T37" s="63">
        <f t="shared" si="12"/>
        <v>30000</v>
      </c>
      <c r="U37" s="63">
        <f t="shared" si="3"/>
        <v>0</v>
      </c>
    </row>
    <row r="38" spans="1:21" s="64" customFormat="1" ht="11.4" outlineLevel="1">
      <c r="A38" s="38" t="s">
        <v>68</v>
      </c>
      <c r="B38" s="50" t="s">
        <v>22</v>
      </c>
      <c r="C38" s="51">
        <f>D38/D83</f>
        <v>8.8337426661208904E-2</v>
      </c>
      <c r="D38" s="54">
        <f t="shared" si="0"/>
        <v>2158.0833333333335</v>
      </c>
      <c r="E38" s="56">
        <v>25897</v>
      </c>
      <c r="F38" s="93"/>
      <c r="G38" s="123"/>
      <c r="H38" s="96"/>
      <c r="I38" s="96"/>
      <c r="J38" s="94"/>
      <c r="K38" s="94"/>
      <c r="L38" s="94"/>
      <c r="M38" s="94"/>
      <c r="N38" s="94"/>
      <c r="O38" s="94">
        <v>25897</v>
      </c>
      <c r="P38" s="94"/>
      <c r="Q38" s="94"/>
      <c r="R38" s="94"/>
      <c r="S38" s="173"/>
      <c r="T38" s="63">
        <f t="shared" si="12"/>
        <v>25897</v>
      </c>
      <c r="U38" s="63">
        <f t="shared" si="3"/>
        <v>0</v>
      </c>
    </row>
    <row r="39" spans="1:21" s="64" customFormat="1" ht="11.4" outlineLevel="1">
      <c r="A39" s="38" t="s">
        <v>69</v>
      </c>
      <c r="B39" s="50" t="s">
        <v>23</v>
      </c>
      <c r="C39" s="51">
        <f>D39/D83</f>
        <v>1.7055532814845138E-2</v>
      </c>
      <c r="D39" s="54">
        <f t="shared" si="0"/>
        <v>416.66666666666669</v>
      </c>
      <c r="E39" s="56">
        <v>5000</v>
      </c>
      <c r="F39" s="93"/>
      <c r="G39" s="123"/>
      <c r="H39" s="96"/>
      <c r="I39" s="96"/>
      <c r="J39" s="94"/>
      <c r="K39" s="94"/>
      <c r="L39" s="94"/>
      <c r="M39" s="94"/>
      <c r="N39" s="94"/>
      <c r="O39" s="94"/>
      <c r="P39" s="94"/>
      <c r="Q39" s="94"/>
      <c r="R39" s="94"/>
      <c r="S39" s="205">
        <v>5000</v>
      </c>
      <c r="T39" s="63">
        <f t="shared" ref="T39:T46" si="14">SUM(G39:S39)</f>
        <v>5000</v>
      </c>
      <c r="U39" s="63">
        <f t="shared" si="3"/>
        <v>0</v>
      </c>
    </row>
    <row r="40" spans="1:21" s="64" customFormat="1" ht="11.4" outlineLevel="1">
      <c r="A40" s="38" t="s">
        <v>70</v>
      </c>
      <c r="B40" s="50" t="s">
        <v>24</v>
      </c>
      <c r="C40" s="51">
        <f>D40/D83</f>
        <v>0</v>
      </c>
      <c r="D40" s="54">
        <f t="shared" si="0"/>
        <v>0</v>
      </c>
      <c r="E40" s="56">
        <v>0</v>
      </c>
      <c r="F40" s="93"/>
      <c r="G40" s="123"/>
      <c r="H40" s="96"/>
      <c r="I40" s="96"/>
      <c r="J40" s="94"/>
      <c r="K40" s="94"/>
      <c r="L40" s="94"/>
      <c r="M40" s="94"/>
      <c r="N40" s="94"/>
      <c r="O40" s="94"/>
      <c r="P40" s="94"/>
      <c r="Q40" s="94"/>
      <c r="R40" s="94"/>
      <c r="S40" s="173"/>
      <c r="T40" s="63">
        <f t="shared" si="14"/>
        <v>0</v>
      </c>
      <c r="U40" s="63">
        <f t="shared" si="3"/>
        <v>0</v>
      </c>
    </row>
    <row r="41" spans="1:21" s="64" customFormat="1" ht="11.4" outlineLevel="1">
      <c r="A41" s="38" t="s">
        <v>71</v>
      </c>
      <c r="B41" s="50" t="s">
        <v>25</v>
      </c>
      <c r="C41" s="51">
        <f>D41/D83</f>
        <v>0</v>
      </c>
      <c r="D41" s="54">
        <f t="shared" si="0"/>
        <v>0</v>
      </c>
      <c r="E41" s="56">
        <v>0</v>
      </c>
      <c r="F41" s="93"/>
      <c r="G41" s="123"/>
      <c r="H41" s="96"/>
      <c r="I41" s="96"/>
      <c r="J41" s="94"/>
      <c r="K41" s="94"/>
      <c r="L41" s="94"/>
      <c r="M41" s="94"/>
      <c r="N41" s="94"/>
      <c r="O41" s="94"/>
      <c r="P41" s="94"/>
      <c r="Q41" s="94"/>
      <c r="R41" s="94"/>
      <c r="S41" s="173"/>
      <c r="T41" s="63">
        <f t="shared" si="14"/>
        <v>0</v>
      </c>
      <c r="U41" s="63">
        <f t="shared" si="3"/>
        <v>0</v>
      </c>
    </row>
    <row r="42" spans="1:21" s="64" customFormat="1" ht="11.4" outlineLevel="1">
      <c r="A42" s="38" t="s">
        <v>72</v>
      </c>
      <c r="B42" s="50" t="s">
        <v>119</v>
      </c>
      <c r="C42" s="51">
        <f>D42/D83</f>
        <v>0.3906194569518352</v>
      </c>
      <c r="D42" s="54">
        <f t="shared" si="0"/>
        <v>9542.8333333333339</v>
      </c>
      <c r="E42" s="56">
        <v>114514</v>
      </c>
      <c r="F42" s="93"/>
      <c r="G42" s="123"/>
      <c r="H42" s="96">
        <v>6897</v>
      </c>
      <c r="I42" s="96">
        <v>22989</v>
      </c>
      <c r="J42" s="94">
        <v>3448</v>
      </c>
      <c r="K42" s="94">
        <v>28736</v>
      </c>
      <c r="L42" s="94">
        <v>720</v>
      </c>
      <c r="M42" s="94">
        <v>17241</v>
      </c>
      <c r="N42" s="94">
        <v>5747</v>
      </c>
      <c r="O42" s="94"/>
      <c r="P42" s="94">
        <v>28736</v>
      </c>
      <c r="Q42" s="94"/>
      <c r="R42" s="94"/>
      <c r="S42" s="173"/>
      <c r="T42" s="63">
        <f t="shared" si="14"/>
        <v>114514</v>
      </c>
      <c r="U42" s="63">
        <f t="shared" si="3"/>
        <v>0</v>
      </c>
    </row>
    <row r="43" spans="1:21" s="64" customFormat="1" ht="11.4" outlineLevel="1">
      <c r="A43" s="38" t="s">
        <v>73</v>
      </c>
      <c r="B43" s="78" t="s">
        <v>114</v>
      </c>
      <c r="C43" s="51">
        <f>D43/D83</f>
        <v>0.22499658889343704</v>
      </c>
      <c r="D43" s="54">
        <f t="shared" si="0"/>
        <v>5496.666666666667</v>
      </c>
      <c r="E43" s="56">
        <v>65960</v>
      </c>
      <c r="F43" s="93"/>
      <c r="G43" s="123"/>
      <c r="H43" s="96"/>
      <c r="I43" s="96"/>
      <c r="J43" s="94"/>
      <c r="K43" s="94"/>
      <c r="L43" s="94"/>
      <c r="M43" s="94"/>
      <c r="N43" s="94"/>
      <c r="O43" s="94"/>
      <c r="P43" s="94"/>
      <c r="R43" s="94">
        <v>6200</v>
      </c>
      <c r="S43" s="173">
        <v>59760</v>
      </c>
      <c r="T43" s="63">
        <f t="shared" si="14"/>
        <v>65960</v>
      </c>
      <c r="U43" s="63">
        <f t="shared" si="3"/>
        <v>0</v>
      </c>
    </row>
    <row r="44" spans="1:21" s="64" customFormat="1" ht="11.4" outlineLevel="1">
      <c r="A44" s="38" t="s">
        <v>74</v>
      </c>
      <c r="B44" s="78" t="s">
        <v>128</v>
      </c>
      <c r="C44" s="51">
        <f>D44/D83</f>
        <v>0.72977213808159358</v>
      </c>
      <c r="D44" s="54">
        <f t="shared" si="0"/>
        <v>17828.333333333332</v>
      </c>
      <c r="E44" s="56">
        <v>213940</v>
      </c>
      <c r="F44" s="99"/>
      <c r="G44" s="144"/>
      <c r="H44" s="136"/>
      <c r="I44" s="136"/>
      <c r="J44" s="100"/>
      <c r="K44" s="100"/>
      <c r="L44" s="100">
        <f>33940+100000</f>
        <v>133940</v>
      </c>
      <c r="M44" s="100"/>
      <c r="O44" s="100">
        <f>80000</f>
        <v>80000</v>
      </c>
      <c r="P44" s="100"/>
      <c r="Q44" s="100"/>
      <c r="R44" s="100"/>
      <c r="S44" s="174"/>
      <c r="T44" s="63">
        <f t="shared" si="14"/>
        <v>213940</v>
      </c>
      <c r="U44" s="63">
        <f t="shared" si="3"/>
        <v>0</v>
      </c>
    </row>
    <row r="45" spans="1:21" s="64" customFormat="1" ht="11.4" outlineLevel="1">
      <c r="A45" s="38" t="s">
        <v>127</v>
      </c>
      <c r="B45" s="50" t="s">
        <v>26</v>
      </c>
      <c r="C45" s="51">
        <f>D45/D83</f>
        <v>4.6049938600081865E-2</v>
      </c>
      <c r="D45" s="54">
        <f t="shared" ref="D45:D81" si="15">E45/12</f>
        <v>1125</v>
      </c>
      <c r="E45" s="56">
        <v>13500</v>
      </c>
      <c r="F45" s="93"/>
      <c r="G45" s="123"/>
      <c r="H45" s="96">
        <v>3000</v>
      </c>
      <c r="I45" s="96"/>
      <c r="J45" s="94"/>
      <c r="K45" s="94"/>
      <c r="L45" s="94"/>
      <c r="M45" s="94">
        <v>4500</v>
      </c>
      <c r="N45" s="94"/>
      <c r="O45" s="94"/>
      <c r="P45" s="94"/>
      <c r="Q45" s="94">
        <v>6000</v>
      </c>
      <c r="R45" s="94"/>
      <c r="S45" s="173"/>
      <c r="T45" s="63">
        <f t="shared" si="14"/>
        <v>13500</v>
      </c>
      <c r="U45" s="63">
        <f t="shared" si="3"/>
        <v>0</v>
      </c>
    </row>
    <row r="46" spans="1:21" s="64" customFormat="1" ht="12" outlineLevel="1" thickBot="1">
      <c r="A46" s="38" t="s">
        <v>181</v>
      </c>
      <c r="B46" s="108" t="s">
        <v>182</v>
      </c>
      <c r="C46" s="147">
        <f>D46/D83</f>
        <v>8.5277664074225684E-2</v>
      </c>
      <c r="D46" s="148">
        <f t="shared" si="15"/>
        <v>2083.3333333333335</v>
      </c>
      <c r="E46" s="149">
        <v>25000</v>
      </c>
      <c r="F46" s="150"/>
      <c r="G46" s="151"/>
      <c r="H46" s="152"/>
      <c r="I46" s="152"/>
      <c r="J46" s="153"/>
      <c r="K46" s="153"/>
      <c r="L46" s="153"/>
      <c r="M46" s="153"/>
      <c r="N46" s="153">
        <v>25000</v>
      </c>
      <c r="O46" s="153"/>
      <c r="P46" s="153"/>
      <c r="Q46" s="153"/>
      <c r="R46" s="153"/>
      <c r="S46" s="175"/>
      <c r="T46" s="63">
        <f t="shared" si="14"/>
        <v>25000</v>
      </c>
      <c r="U46" s="63">
        <f t="shared" si="3"/>
        <v>0</v>
      </c>
    </row>
    <row r="47" spans="1:21">
      <c r="A47" s="34">
        <v>10</v>
      </c>
      <c r="B47" s="7" t="s">
        <v>108</v>
      </c>
      <c r="C47" s="44">
        <f>D47/D83</f>
        <v>1.1247271114749624</v>
      </c>
      <c r="D47" s="17">
        <f t="shared" si="15"/>
        <v>27477.083333333332</v>
      </c>
      <c r="E47" s="75">
        <f>E48+E49+E52+E53+E54+E55+E58+E59</f>
        <v>329725</v>
      </c>
      <c r="F47" s="89">
        <f>F48+F49+F52+F53+F54+F55+F58+F59</f>
        <v>0</v>
      </c>
      <c r="G47" s="90">
        <f>G48+G49+G52+G53+G54+G55+G58+G59</f>
        <v>40290.160000000003</v>
      </c>
      <c r="H47" s="90">
        <f t="shared" ref="H47:S47" si="16">H48+H49+H52+H53+H54+H55+H58+H59</f>
        <v>5680</v>
      </c>
      <c r="I47" s="90">
        <f t="shared" si="16"/>
        <v>93341.799999999988</v>
      </c>
      <c r="J47" s="90">
        <f t="shared" si="16"/>
        <v>44449.5</v>
      </c>
      <c r="K47" s="90">
        <f t="shared" si="16"/>
        <v>9492.7000000000007</v>
      </c>
      <c r="L47" s="90">
        <f t="shared" si="16"/>
        <v>11539.85</v>
      </c>
      <c r="M47" s="90">
        <f t="shared" si="16"/>
        <v>29577.309999999998</v>
      </c>
      <c r="N47" s="90">
        <f t="shared" si="16"/>
        <v>2845.7</v>
      </c>
      <c r="O47" s="90">
        <f t="shared" si="16"/>
        <v>56132.1</v>
      </c>
      <c r="P47" s="90">
        <f t="shared" si="16"/>
        <v>2472.1</v>
      </c>
      <c r="Q47" s="90">
        <f t="shared" si="16"/>
        <v>2352.3999999999996</v>
      </c>
      <c r="R47" s="90">
        <f t="shared" si="16"/>
        <v>25147.200000000001</v>
      </c>
      <c r="S47" s="201">
        <f t="shared" si="16"/>
        <v>6404.38</v>
      </c>
      <c r="T47" s="27">
        <f>SUM(G47:S47)</f>
        <v>329725.2</v>
      </c>
      <c r="U47" s="27">
        <f t="shared" si="3"/>
        <v>-0.20000000001164153</v>
      </c>
    </row>
    <row r="48" spans="1:21" s="64" customFormat="1" ht="11.4" outlineLevel="1">
      <c r="A48" s="38" t="s">
        <v>76</v>
      </c>
      <c r="B48" s="50" t="s">
        <v>117</v>
      </c>
      <c r="C48" s="51">
        <f>D48/D83</f>
        <v>8.9858780188293089E-2</v>
      </c>
      <c r="D48" s="54">
        <f t="shared" si="15"/>
        <v>2195.25</v>
      </c>
      <c r="E48" s="56">
        <v>26343</v>
      </c>
      <c r="F48" s="93"/>
      <c r="G48" s="123"/>
      <c r="H48" s="96"/>
      <c r="I48" s="96"/>
      <c r="J48" s="94">
        <f>1378+94+160</f>
        <v>1632</v>
      </c>
      <c r="K48" s="94"/>
      <c r="L48" s="94">
        <f>2376</f>
        <v>2376</v>
      </c>
      <c r="M48" s="96">
        <f>11977.66</f>
        <v>11977.66</v>
      </c>
      <c r="N48" s="94">
        <v>452.2</v>
      </c>
      <c r="O48" s="96">
        <v>8953</v>
      </c>
      <c r="P48" s="94">
        <v>448.8</v>
      </c>
      <c r="Q48" s="94"/>
      <c r="R48" s="94">
        <f>452.2+51</f>
        <v>503.2</v>
      </c>
      <c r="S48" s="173"/>
      <c r="T48" s="63">
        <f>SUM(F48:S48)</f>
        <v>26342.86</v>
      </c>
      <c r="U48" s="63">
        <f t="shared" si="3"/>
        <v>0.13999999999941792</v>
      </c>
    </row>
    <row r="49" spans="1:21" s="64" customFormat="1" ht="11.4" outlineLevel="1">
      <c r="A49" s="38" t="s">
        <v>77</v>
      </c>
      <c r="B49" s="50" t="s">
        <v>145</v>
      </c>
      <c r="C49" s="51">
        <f>D49/D83</f>
        <v>0.19456269613862739</v>
      </c>
      <c r="D49" s="54">
        <f t="shared" si="15"/>
        <v>4753.166666666667</v>
      </c>
      <c r="E49" s="56">
        <f>SUM(E50:E51)</f>
        <v>57038</v>
      </c>
      <c r="F49" s="95">
        <f t="shared" ref="F49:S49" si="17">SUM(F50:F51)</f>
        <v>0</v>
      </c>
      <c r="G49" s="123">
        <f>SUM(G50:G51)</f>
        <v>29371.040000000001</v>
      </c>
      <c r="H49" s="96">
        <f t="shared" si="17"/>
        <v>440</v>
      </c>
      <c r="I49" s="123">
        <f t="shared" si="17"/>
        <v>652.5</v>
      </c>
      <c r="J49" s="96">
        <f t="shared" si="17"/>
        <v>2475.7000000000003</v>
      </c>
      <c r="K49" s="123">
        <f t="shared" si="17"/>
        <v>6152.7000000000007</v>
      </c>
      <c r="L49" s="96">
        <f t="shared" si="17"/>
        <v>72</v>
      </c>
      <c r="M49" s="123">
        <f t="shared" si="17"/>
        <v>1204.6500000000001</v>
      </c>
      <c r="N49" s="96">
        <f t="shared" si="17"/>
        <v>499.5</v>
      </c>
      <c r="O49" s="123">
        <f t="shared" si="17"/>
        <v>5583.4</v>
      </c>
      <c r="P49" s="96">
        <f t="shared" si="17"/>
        <v>1079.3</v>
      </c>
      <c r="Q49" s="123">
        <f t="shared" si="17"/>
        <v>2352.3999999999996</v>
      </c>
      <c r="R49" s="96">
        <f t="shared" si="17"/>
        <v>2322</v>
      </c>
      <c r="S49" s="205">
        <f t="shared" si="17"/>
        <v>4833</v>
      </c>
      <c r="T49" s="63">
        <f>SUM(F49:S49)</f>
        <v>57038.19000000001</v>
      </c>
      <c r="U49" s="63">
        <f t="shared" si="3"/>
        <v>-0.19000000000960426</v>
      </c>
    </row>
    <row r="50" spans="1:21" s="12" customFormat="1" ht="10.199999999999999" outlineLevel="2">
      <c r="A50" s="36" t="s">
        <v>93</v>
      </c>
      <c r="B50" s="3" t="s">
        <v>113</v>
      </c>
      <c r="C50" s="45"/>
      <c r="D50" s="18">
        <f>E50/12</f>
        <v>2245</v>
      </c>
      <c r="E50" s="110">
        <v>26940</v>
      </c>
      <c r="F50" s="145"/>
      <c r="G50" s="142">
        <v>26940</v>
      </c>
      <c r="H50" s="133"/>
      <c r="I50" s="133"/>
      <c r="J50" s="98"/>
      <c r="K50" s="98"/>
      <c r="L50" s="98"/>
      <c r="M50" s="98"/>
      <c r="N50" s="98"/>
      <c r="O50" s="98"/>
      <c r="P50" s="98"/>
      <c r="Q50" s="98"/>
      <c r="R50" s="98"/>
      <c r="S50" s="176"/>
      <c r="T50" s="21">
        <f t="shared" ref="T50:T59" si="18">SUM(F50:S50)</f>
        <v>26940</v>
      </c>
      <c r="U50" s="21">
        <f t="shared" si="3"/>
        <v>0</v>
      </c>
    </row>
    <row r="51" spans="1:21" s="12" customFormat="1" ht="10.199999999999999" outlineLevel="2">
      <c r="A51" s="36" t="s">
        <v>94</v>
      </c>
      <c r="B51" s="3" t="s">
        <v>105</v>
      </c>
      <c r="C51" s="45"/>
      <c r="D51" s="18">
        <f>E51/12</f>
        <v>2508.1666666666665</v>
      </c>
      <c r="E51" s="110">
        <v>30098</v>
      </c>
      <c r="F51" s="182"/>
      <c r="G51" s="142">
        <f>1732.5+30+190+408+70.54</f>
        <v>2431.04</v>
      </c>
      <c r="H51" s="133">
        <v>440</v>
      </c>
      <c r="I51" s="133">
        <v>652.5</v>
      </c>
      <c r="J51" s="98">
        <f>192.4+2283.3</f>
        <v>2475.7000000000003</v>
      </c>
      <c r="K51" s="98">
        <f>4747.5+525+75.6+270+50+205.1+83.5+110+86</f>
        <v>6152.7000000000007</v>
      </c>
      <c r="L51" s="98">
        <f>72</f>
        <v>72</v>
      </c>
      <c r="M51" s="98">
        <f>828+376.65</f>
        <v>1204.6500000000001</v>
      </c>
      <c r="N51" s="98">
        <f>499.5</f>
        <v>499.5</v>
      </c>
      <c r="O51" s="98">
        <f>1087+2389.5+2106.9</f>
        <v>5583.4</v>
      </c>
      <c r="P51" s="98">
        <f>255.6+60+165+60+50+488.7</f>
        <v>1079.3</v>
      </c>
      <c r="Q51" s="98">
        <f>1774.6+577.8</f>
        <v>2352.3999999999996</v>
      </c>
      <c r="R51" s="98">
        <f>25+1465+514+296+22</f>
        <v>2322</v>
      </c>
      <c r="S51" s="176">
        <f>1998+2835</f>
        <v>4833</v>
      </c>
      <c r="T51" s="21">
        <f>SUM(G51:S51)</f>
        <v>30098.189999999995</v>
      </c>
      <c r="U51" s="21">
        <f t="shared" si="3"/>
        <v>-0.18999999999505235</v>
      </c>
    </row>
    <row r="52" spans="1:21" s="64" customFormat="1" ht="11.4" outlineLevel="1">
      <c r="A52" s="38" t="s">
        <v>78</v>
      </c>
      <c r="B52" s="50" t="s">
        <v>112</v>
      </c>
      <c r="C52" s="51">
        <f>D52/D83</f>
        <v>3.2166734888797923E-3</v>
      </c>
      <c r="D52" s="54">
        <f t="shared" si="15"/>
        <v>78.583333333333329</v>
      </c>
      <c r="E52" s="56">
        <v>943</v>
      </c>
      <c r="F52" s="192"/>
      <c r="G52" s="123"/>
      <c r="H52" s="96"/>
      <c r="I52" s="96">
        <v>942.95</v>
      </c>
      <c r="J52" s="94"/>
      <c r="K52" s="94"/>
      <c r="L52" s="94"/>
      <c r="M52" s="94"/>
      <c r="N52" s="94"/>
      <c r="O52" s="94"/>
      <c r="P52" s="94"/>
      <c r="Q52" s="94"/>
      <c r="R52" s="94"/>
      <c r="S52" s="173"/>
      <c r="T52" s="63">
        <f t="shared" si="18"/>
        <v>942.95</v>
      </c>
      <c r="U52" s="63">
        <f t="shared" si="3"/>
        <v>4.9999999999954525E-2</v>
      </c>
    </row>
    <row r="53" spans="1:21" s="64" customFormat="1" ht="11.4" outlineLevel="1">
      <c r="A53" s="38" t="s">
        <v>104</v>
      </c>
      <c r="B53" s="50" t="s">
        <v>30</v>
      </c>
      <c r="C53" s="51">
        <f>D53/D83</f>
        <v>0.17006412880338384</v>
      </c>
      <c r="D53" s="54">
        <f t="shared" si="15"/>
        <v>4154.666666666667</v>
      </c>
      <c r="E53" s="56">
        <v>49856</v>
      </c>
      <c r="F53" s="93"/>
      <c r="G53" s="123"/>
      <c r="H53" s="96"/>
      <c r="I53" s="96">
        <f>880+2000</f>
        <v>2880</v>
      </c>
      <c r="J53" s="94">
        <f>832+24250+1019.8</f>
        <v>26101.8</v>
      </c>
      <c r="K53" s="94"/>
      <c r="L53" s="94">
        <v>874</v>
      </c>
      <c r="M53" s="94"/>
      <c r="N53" s="94"/>
      <c r="O53" s="94"/>
      <c r="P53" s="94"/>
      <c r="Q53" s="94"/>
      <c r="R53" s="94">
        <v>20000</v>
      </c>
      <c r="S53" s="173"/>
      <c r="T53" s="63">
        <f t="shared" si="18"/>
        <v>49855.8</v>
      </c>
      <c r="U53" s="63">
        <f t="shared" si="3"/>
        <v>0.19999999999708962</v>
      </c>
    </row>
    <row r="54" spans="1:21" s="64" customFormat="1" ht="11.4" outlineLevel="1">
      <c r="A54" s="38" t="s">
        <v>109</v>
      </c>
      <c r="B54" s="78" t="s">
        <v>110</v>
      </c>
      <c r="C54" s="51">
        <f>D54/D83</f>
        <v>0</v>
      </c>
      <c r="D54" s="54">
        <f t="shared" si="15"/>
        <v>0</v>
      </c>
      <c r="E54" s="56">
        <v>0</v>
      </c>
      <c r="F54" s="93"/>
      <c r="G54" s="123"/>
      <c r="H54" s="96"/>
      <c r="I54" s="96"/>
      <c r="J54" s="94"/>
      <c r="K54" s="94"/>
      <c r="L54" s="94"/>
      <c r="M54" s="94"/>
      <c r="N54" s="94"/>
      <c r="O54" s="94"/>
      <c r="P54" s="94"/>
      <c r="Q54" s="94"/>
      <c r="R54" s="94"/>
      <c r="S54" s="173"/>
      <c r="T54" s="63">
        <f t="shared" si="18"/>
        <v>0</v>
      </c>
      <c r="U54" s="63">
        <f t="shared" si="3"/>
        <v>0</v>
      </c>
    </row>
    <row r="55" spans="1:21" s="64" customFormat="1" ht="11.4" outlineLevel="1">
      <c r="A55" s="38" t="s">
        <v>116</v>
      </c>
      <c r="B55" s="50" t="s">
        <v>144</v>
      </c>
      <c r="C55" s="51">
        <f>D55/D83</f>
        <v>0.60221380815936687</v>
      </c>
      <c r="D55" s="54">
        <f>E55/12</f>
        <v>14712.083333333334</v>
      </c>
      <c r="E55" s="56">
        <f>SUM(E56:E57)</f>
        <v>176545</v>
      </c>
      <c r="F55" s="93">
        <f>SUM(F56:F57)</f>
        <v>0</v>
      </c>
      <c r="G55" s="191">
        <f>SUM(G56:G57)</f>
        <v>10919.119999999999</v>
      </c>
      <c r="H55" s="96">
        <f>SUM(H56:H57)</f>
        <v>5240</v>
      </c>
      <c r="I55" s="96">
        <f>SUM(I56:I57)</f>
        <v>88866.349999999991</v>
      </c>
      <c r="J55" s="94">
        <f t="shared" ref="J55:S55" si="19">SUM(J56:J57)</f>
        <v>1800</v>
      </c>
      <c r="K55" s="94">
        <f t="shared" si="19"/>
        <v>340</v>
      </c>
      <c r="L55" s="94">
        <f t="shared" si="19"/>
        <v>4917.8500000000004</v>
      </c>
      <c r="M55" s="94">
        <f t="shared" si="19"/>
        <v>16395</v>
      </c>
      <c r="N55" s="94">
        <f t="shared" si="19"/>
        <v>1894</v>
      </c>
      <c r="O55" s="94">
        <f t="shared" si="19"/>
        <v>41595.699999999997</v>
      </c>
      <c r="P55" s="94">
        <f t="shared" si="19"/>
        <v>944</v>
      </c>
      <c r="Q55" s="94">
        <f t="shared" si="19"/>
        <v>0</v>
      </c>
      <c r="R55" s="94">
        <f t="shared" si="19"/>
        <v>2062</v>
      </c>
      <c r="S55" s="206">
        <f t="shared" si="19"/>
        <v>1571.38</v>
      </c>
      <c r="T55" s="63">
        <f>SUM(F55:S55)</f>
        <v>176545.4</v>
      </c>
      <c r="U55" s="63">
        <f t="shared" si="3"/>
        <v>-0.39999999999417923</v>
      </c>
    </row>
    <row r="56" spans="1:21" s="64" customFormat="1" ht="11.4" outlineLevel="2">
      <c r="A56" s="36" t="s">
        <v>142</v>
      </c>
      <c r="B56" s="3" t="s">
        <v>141</v>
      </c>
      <c r="C56" s="45"/>
      <c r="D56" s="18">
        <f>E56/12</f>
        <v>4266.666666666667</v>
      </c>
      <c r="E56" s="110">
        <v>51200</v>
      </c>
      <c r="F56" s="193"/>
      <c r="G56" s="142"/>
      <c r="H56" s="133"/>
      <c r="I56" s="133">
        <f>36000+14740+460</f>
        <v>51200</v>
      </c>
      <c r="J56" s="98"/>
      <c r="K56" s="98"/>
      <c r="L56" s="98"/>
      <c r="M56" s="98"/>
      <c r="N56" s="98"/>
      <c r="O56" s="98"/>
      <c r="P56" s="98"/>
      <c r="Q56" s="98"/>
      <c r="R56" s="98"/>
      <c r="S56" s="176"/>
      <c r="T56" s="21">
        <f t="shared" si="18"/>
        <v>51200</v>
      </c>
      <c r="U56" s="21">
        <f t="shared" si="3"/>
        <v>0</v>
      </c>
    </row>
    <row r="57" spans="1:21" s="64" customFormat="1" ht="11.4" outlineLevel="2">
      <c r="A57" s="36" t="s">
        <v>143</v>
      </c>
      <c r="B57" s="3" t="s">
        <v>146</v>
      </c>
      <c r="C57" s="45"/>
      <c r="D57" s="18">
        <f>E57/12</f>
        <v>10445.416666666666</v>
      </c>
      <c r="E57" s="110">
        <v>125345</v>
      </c>
      <c r="F57" s="61"/>
      <c r="G57" s="142">
        <f>28523.12-17604</f>
        <v>10919.119999999999</v>
      </c>
      <c r="H57" s="133">
        <v>5240</v>
      </c>
      <c r="I57" s="133">
        <f>6812.98+15308.04+3115+200+2079.46+5878.25+865.64+2347.95+177.03+350+100+284+148</f>
        <v>37666.349999999991</v>
      </c>
      <c r="J57" s="98">
        <v>1800</v>
      </c>
      <c r="K57" s="98">
        <v>340</v>
      </c>
      <c r="L57" s="98">
        <f>877.85+4040</f>
        <v>4917.8500000000004</v>
      </c>
      <c r="M57" s="98">
        <f>740+569+390+2440+130+96+144+11886</f>
        <v>16395</v>
      </c>
      <c r="N57" s="98">
        <f>68+1420+288+118</f>
        <v>1894</v>
      </c>
      <c r="O57" s="98">
        <f>28650+10060+79+885+1921.7</f>
        <v>41595.699999999997</v>
      </c>
      <c r="P57" s="98">
        <f>400+314+70+55+105</f>
        <v>944</v>
      </c>
      <c r="Q57" s="98"/>
      <c r="R57" s="98">
        <f>110+1852+100</f>
        <v>2062</v>
      </c>
      <c r="S57" s="176">
        <v>1571.38</v>
      </c>
      <c r="T57" s="21">
        <f>SUM(G57:S57)</f>
        <v>125345.39999999998</v>
      </c>
      <c r="U57" s="21">
        <f t="shared" si="3"/>
        <v>-0.39999999997962732</v>
      </c>
    </row>
    <row r="58" spans="1:21" s="64" customFormat="1" ht="11.4" outlineLevel="1">
      <c r="A58" s="38" t="s">
        <v>120</v>
      </c>
      <c r="B58" s="78" t="s">
        <v>126</v>
      </c>
      <c r="C58" s="51">
        <f>D58/D83</f>
        <v>4.2434165643334701E-2</v>
      </c>
      <c r="D58" s="54">
        <f t="shared" si="15"/>
        <v>1036.6666666666667</v>
      </c>
      <c r="E58" s="56">
        <v>12440</v>
      </c>
      <c r="F58" s="192"/>
      <c r="G58" s="123"/>
      <c r="H58" s="96"/>
      <c r="I58" s="96"/>
      <c r="J58" s="94">
        <v>12440</v>
      </c>
      <c r="K58" s="94"/>
      <c r="L58" s="94"/>
      <c r="M58" s="94"/>
      <c r="N58" s="94"/>
      <c r="O58" s="94"/>
      <c r="P58" s="94"/>
      <c r="Q58" s="94"/>
      <c r="R58" s="94"/>
      <c r="S58" s="173"/>
      <c r="T58" s="63">
        <f t="shared" si="18"/>
        <v>12440</v>
      </c>
      <c r="U58" s="63">
        <f t="shared" si="3"/>
        <v>0</v>
      </c>
    </row>
    <row r="59" spans="1:21" s="64" customFormat="1" ht="12" outlineLevel="1" thickBot="1">
      <c r="A59" s="38" t="s">
        <v>121</v>
      </c>
      <c r="B59" s="78" t="s">
        <v>137</v>
      </c>
      <c r="C59" s="51">
        <f>D59/D83</f>
        <v>2.2376859053076816E-2</v>
      </c>
      <c r="D59" s="54">
        <f t="shared" si="15"/>
        <v>546.66666666666663</v>
      </c>
      <c r="E59" s="56">
        <v>6560</v>
      </c>
      <c r="F59" s="99"/>
      <c r="G59" s="144"/>
      <c r="H59" s="136"/>
      <c r="I59" s="136"/>
      <c r="J59" s="100"/>
      <c r="K59" s="100">
        <v>3000</v>
      </c>
      <c r="L59" s="100">
        <v>3300</v>
      </c>
      <c r="M59" s="100"/>
      <c r="N59" s="100"/>
      <c r="O59" s="100"/>
      <c r="P59" s="100"/>
      <c r="Q59" s="100"/>
      <c r="R59" s="100">
        <v>260</v>
      </c>
      <c r="S59" s="174"/>
      <c r="T59" s="63">
        <f t="shared" si="18"/>
        <v>6560</v>
      </c>
      <c r="U59" s="63">
        <f t="shared" si="3"/>
        <v>0</v>
      </c>
    </row>
    <row r="60" spans="1:21">
      <c r="A60" s="34">
        <v>11</v>
      </c>
      <c r="B60" s="7" t="s">
        <v>106</v>
      </c>
      <c r="C60" s="44">
        <f>D60/D83</f>
        <v>2.642959476054032</v>
      </c>
      <c r="D60" s="17">
        <f t="shared" si="15"/>
        <v>64567.5</v>
      </c>
      <c r="E60" s="75">
        <f t="shared" ref="E60:J60" si="20">SUM(E61:E76)</f>
        <v>774810</v>
      </c>
      <c r="F60" s="89">
        <f t="shared" si="20"/>
        <v>0</v>
      </c>
      <c r="G60" s="122">
        <f t="shared" si="20"/>
        <v>0</v>
      </c>
      <c r="H60" s="90">
        <f t="shared" si="20"/>
        <v>0</v>
      </c>
      <c r="I60" s="90">
        <f t="shared" si="20"/>
        <v>0</v>
      </c>
      <c r="J60" s="90">
        <f t="shared" si="20"/>
        <v>103738</v>
      </c>
      <c r="K60" s="122">
        <f t="shared" ref="K60:S60" si="21">SUM(K61:K76)</f>
        <v>39400</v>
      </c>
      <c r="L60" s="90">
        <f t="shared" si="21"/>
        <v>16704.25</v>
      </c>
      <c r="M60" s="90">
        <f t="shared" si="21"/>
        <v>96120</v>
      </c>
      <c r="N60" s="90">
        <f t="shared" si="21"/>
        <v>148736</v>
      </c>
      <c r="O60" s="122">
        <f t="shared" si="21"/>
        <v>120000</v>
      </c>
      <c r="P60" s="90">
        <f t="shared" si="21"/>
        <v>67213</v>
      </c>
      <c r="Q60" s="90">
        <f t="shared" si="21"/>
        <v>32900</v>
      </c>
      <c r="R60" s="90">
        <f t="shared" si="21"/>
        <v>138449</v>
      </c>
      <c r="S60" s="207">
        <f t="shared" si="21"/>
        <v>11550</v>
      </c>
      <c r="T60" s="27">
        <f>SUM(G60:S60)</f>
        <v>774810.25</v>
      </c>
      <c r="U60" s="27">
        <f t="shared" si="3"/>
        <v>-0.25</v>
      </c>
    </row>
    <row r="61" spans="1:21" s="64" customFormat="1" ht="11.4" outlineLevel="1">
      <c r="A61" s="38" t="s">
        <v>79</v>
      </c>
      <c r="B61" s="50" t="s">
        <v>27</v>
      </c>
      <c r="C61" s="51">
        <f>D61/D83</f>
        <v>0</v>
      </c>
      <c r="D61" s="54">
        <f t="shared" si="15"/>
        <v>0</v>
      </c>
      <c r="E61" s="56">
        <v>0</v>
      </c>
      <c r="F61" s="93"/>
      <c r="G61" s="123"/>
      <c r="H61" s="96"/>
      <c r="I61" s="96"/>
      <c r="J61" s="94"/>
      <c r="K61" s="94"/>
      <c r="L61" s="94"/>
      <c r="M61" s="94"/>
      <c r="N61" s="94"/>
      <c r="O61" s="94"/>
      <c r="P61" s="94"/>
      <c r="Q61" s="94"/>
      <c r="R61" s="94"/>
      <c r="S61" s="173"/>
      <c r="T61" s="63">
        <f>SUM(F61:S61)</f>
        <v>0</v>
      </c>
      <c r="U61" s="63">
        <f t="shared" si="3"/>
        <v>0</v>
      </c>
    </row>
    <row r="62" spans="1:21" s="64" customFormat="1" ht="11.4" outlineLevel="1">
      <c r="A62" s="38" t="s">
        <v>80</v>
      </c>
      <c r="B62" s="78" t="s">
        <v>115</v>
      </c>
      <c r="C62" s="51">
        <f>D62/D83</f>
        <v>0.14121981170691772</v>
      </c>
      <c r="D62" s="54">
        <f t="shared" si="15"/>
        <v>3450</v>
      </c>
      <c r="E62" s="56">
        <v>41400</v>
      </c>
      <c r="F62" s="93"/>
      <c r="G62" s="123"/>
      <c r="H62" s="96"/>
      <c r="I62" s="96"/>
      <c r="J62" s="94"/>
      <c r="K62" s="94"/>
      <c r="L62" s="94"/>
      <c r="M62" s="94"/>
      <c r="N62" s="94"/>
      <c r="O62" s="94"/>
      <c r="P62" s="94"/>
      <c r="Q62" s="94"/>
      <c r="R62" s="94">
        <v>41400</v>
      </c>
      <c r="S62" s="173"/>
      <c r="T62" s="63">
        <f>SUM(F62:S62)</f>
        <v>41400</v>
      </c>
      <c r="U62" s="63">
        <f t="shared" si="3"/>
        <v>0</v>
      </c>
    </row>
    <row r="63" spans="1:21" s="64" customFormat="1" ht="11.4" outlineLevel="1">
      <c r="A63" s="38" t="s">
        <v>81</v>
      </c>
      <c r="B63" s="50" t="s">
        <v>28</v>
      </c>
      <c r="C63" s="51">
        <f>D63/D83</f>
        <v>0</v>
      </c>
      <c r="D63" s="54">
        <f t="shared" si="15"/>
        <v>0</v>
      </c>
      <c r="E63" s="56">
        <v>0</v>
      </c>
      <c r="F63" s="93"/>
      <c r="G63" s="123"/>
      <c r="H63" s="96"/>
      <c r="I63" s="96"/>
      <c r="J63" s="94"/>
      <c r="K63" s="94"/>
      <c r="L63" s="94"/>
      <c r="M63" s="94"/>
      <c r="N63" s="94"/>
      <c r="O63" s="94"/>
      <c r="P63" s="94"/>
      <c r="Q63" s="94"/>
      <c r="R63" s="94"/>
      <c r="S63" s="173"/>
      <c r="T63" s="63">
        <f t="shared" ref="T63:T76" si="22">SUM(F63:S63)</f>
        <v>0</v>
      </c>
      <c r="U63" s="63">
        <f t="shared" si="3"/>
        <v>0</v>
      </c>
    </row>
    <row r="64" spans="1:21" s="64" customFormat="1" ht="11.4" outlineLevel="1">
      <c r="A64" s="38" t="s">
        <v>82</v>
      </c>
      <c r="B64" s="50" t="s">
        <v>122</v>
      </c>
      <c r="C64" s="51">
        <f>D64/D83</f>
        <v>2.7759585209441943E-2</v>
      </c>
      <c r="D64" s="54">
        <f t="shared" si="15"/>
        <v>678.16666666666663</v>
      </c>
      <c r="E64" s="56">
        <v>8138</v>
      </c>
      <c r="F64" s="93"/>
      <c r="G64" s="123"/>
      <c r="H64" s="96"/>
      <c r="I64" s="96"/>
      <c r="J64" s="94"/>
      <c r="K64" s="94"/>
      <c r="L64" s="96"/>
      <c r="M64" s="94"/>
      <c r="N64" s="94"/>
      <c r="O64" s="94"/>
      <c r="P64" s="96">
        <v>8138</v>
      </c>
      <c r="Q64" s="94"/>
      <c r="R64" s="94"/>
      <c r="S64" s="173"/>
      <c r="T64" s="63">
        <f t="shared" si="22"/>
        <v>8138</v>
      </c>
      <c r="U64" s="63">
        <f t="shared" si="3"/>
        <v>0</v>
      </c>
    </row>
    <row r="65" spans="1:21" s="64" customFormat="1" ht="11.4" outlineLevel="1">
      <c r="A65" s="38" t="s">
        <v>83</v>
      </c>
      <c r="B65" s="78" t="s">
        <v>189</v>
      </c>
      <c r="C65" s="51">
        <f>D65/D83</f>
        <v>0.42336266884977486</v>
      </c>
      <c r="D65" s="54">
        <f t="shared" si="15"/>
        <v>10342.75</v>
      </c>
      <c r="E65" s="56">
        <v>124113</v>
      </c>
      <c r="F65" s="93"/>
      <c r="G65" s="123"/>
      <c r="H65" s="96"/>
      <c r="I65" s="96"/>
      <c r="J65" s="94">
        <f>40000+50513</f>
        <v>90513</v>
      </c>
      <c r="K65" s="94">
        <v>33600</v>
      </c>
      <c r="L65" s="94"/>
      <c r="M65" s="94"/>
      <c r="N65" s="94"/>
      <c r="O65" s="94"/>
      <c r="P65" s="94"/>
      <c r="Q65" s="94"/>
      <c r="R65" s="94"/>
      <c r="S65" s="173"/>
      <c r="T65" s="63">
        <f t="shared" si="22"/>
        <v>124113</v>
      </c>
      <c r="U65" s="63">
        <f t="shared" si="3"/>
        <v>0</v>
      </c>
    </row>
    <row r="66" spans="1:21" s="64" customFormat="1" ht="11.4" outlineLevel="1">
      <c r="A66" s="38" t="s">
        <v>84</v>
      </c>
      <c r="B66" s="78" t="s">
        <v>185</v>
      </c>
      <c r="C66" s="51">
        <f>D66/D83</f>
        <v>0.15204325283121845</v>
      </c>
      <c r="D66" s="54">
        <f t="shared" si="15"/>
        <v>3714.4166666666665</v>
      </c>
      <c r="E66" s="56">
        <v>44573</v>
      </c>
      <c r="F66" s="93"/>
      <c r="G66" s="123"/>
      <c r="H66" s="96"/>
      <c r="I66" s="96"/>
      <c r="J66" s="94"/>
      <c r="K66" s="94"/>
      <c r="L66" s="94"/>
      <c r="M66" s="94"/>
      <c r="N66" s="94"/>
      <c r="O66" s="94"/>
      <c r="P66" s="94"/>
      <c r="Q66" s="94"/>
      <c r="R66" s="94">
        <v>44573</v>
      </c>
      <c r="S66" s="173"/>
      <c r="T66" s="63">
        <f t="shared" si="22"/>
        <v>44573</v>
      </c>
      <c r="U66" s="63">
        <f t="shared" si="3"/>
        <v>0</v>
      </c>
    </row>
    <row r="67" spans="1:21" s="64" customFormat="1" ht="11.4" outlineLevel="1">
      <c r="A67" s="38" t="s">
        <v>85</v>
      </c>
      <c r="B67" s="50" t="s">
        <v>107</v>
      </c>
      <c r="C67" s="51">
        <f>D67/D83</f>
        <v>0</v>
      </c>
      <c r="D67" s="54">
        <f t="shared" si="15"/>
        <v>0</v>
      </c>
      <c r="E67" s="56">
        <v>0</v>
      </c>
      <c r="F67" s="93"/>
      <c r="G67" s="123"/>
      <c r="H67" s="96"/>
      <c r="I67" s="96"/>
      <c r="J67" s="94"/>
      <c r="K67" s="94"/>
      <c r="L67" s="94"/>
      <c r="M67" s="94"/>
      <c r="N67" s="94"/>
      <c r="O67" s="94"/>
      <c r="P67" s="94"/>
      <c r="Q67" s="94"/>
      <c r="R67" s="94"/>
      <c r="S67" s="173"/>
      <c r="T67" s="63">
        <f t="shared" si="22"/>
        <v>0</v>
      </c>
      <c r="U67" s="63">
        <f t="shared" si="3"/>
        <v>0</v>
      </c>
    </row>
    <row r="68" spans="1:21" s="64" customFormat="1" ht="11.4" outlineLevel="1">
      <c r="A68" s="38" t="s">
        <v>86</v>
      </c>
      <c r="B68" s="78" t="s">
        <v>179</v>
      </c>
      <c r="C68" s="51">
        <f>D68/D83</f>
        <v>0.3278755628325829</v>
      </c>
      <c r="D68" s="54">
        <f t="shared" si="15"/>
        <v>8010</v>
      </c>
      <c r="E68" s="56">
        <v>96120</v>
      </c>
      <c r="F68" s="93"/>
      <c r="G68" s="123"/>
      <c r="H68" s="96"/>
      <c r="I68" s="96"/>
      <c r="J68" s="94"/>
      <c r="K68" s="94"/>
      <c r="L68" s="94"/>
      <c r="M68" s="94">
        <v>96120</v>
      </c>
      <c r="N68" s="94"/>
      <c r="O68" s="94"/>
      <c r="P68" s="94"/>
      <c r="Q68" s="94"/>
      <c r="R68" s="94"/>
      <c r="S68" s="173"/>
      <c r="T68" s="63">
        <f t="shared" si="22"/>
        <v>96120</v>
      </c>
      <c r="U68" s="63">
        <f t="shared" si="3"/>
        <v>0</v>
      </c>
    </row>
    <row r="69" spans="1:21" s="64" customFormat="1" ht="11.4" outlineLevel="1">
      <c r="A69" s="38" t="s">
        <v>87</v>
      </c>
      <c r="B69" s="50" t="s">
        <v>180</v>
      </c>
      <c r="C69" s="51">
        <f>D69/D83</f>
        <v>1.1507367990176014</v>
      </c>
      <c r="D69" s="54">
        <f t="shared" si="15"/>
        <v>28112.5</v>
      </c>
      <c r="E69" s="56">
        <v>337350</v>
      </c>
      <c r="F69" s="93"/>
      <c r="G69" s="123"/>
      <c r="H69" s="96"/>
      <c r="I69" s="96"/>
      <c r="J69" s="94"/>
      <c r="K69" s="94"/>
      <c r="L69" s="94"/>
      <c r="M69" s="94"/>
      <c r="N69" s="94">
        <v>120000</v>
      </c>
      <c r="O69" s="94">
        <v>120000</v>
      </c>
      <c r="P69" s="94">
        <v>32900</v>
      </c>
      <c r="Q69" s="94">
        <v>32900</v>
      </c>
      <c r="R69" s="94">
        <v>20000</v>
      </c>
      <c r="S69" s="205">
        <v>11550</v>
      </c>
      <c r="T69" s="63">
        <f t="shared" si="22"/>
        <v>337350</v>
      </c>
      <c r="U69" s="63">
        <f t="shared" si="3"/>
        <v>0</v>
      </c>
    </row>
    <row r="70" spans="1:21" s="64" customFormat="1" ht="11.4" outlineLevel="1">
      <c r="A70" s="38" t="s">
        <v>88</v>
      </c>
      <c r="B70" s="50" t="s">
        <v>125</v>
      </c>
      <c r="C70" s="51">
        <f>D70/D83</f>
        <v>2.4488334015554645E-2</v>
      </c>
      <c r="D70" s="54">
        <f t="shared" si="15"/>
        <v>598.25</v>
      </c>
      <c r="E70" s="56">
        <v>7179</v>
      </c>
      <c r="F70" s="93"/>
      <c r="G70" s="123"/>
      <c r="H70" s="96"/>
      <c r="I70" s="96"/>
      <c r="J70" s="94"/>
      <c r="K70" s="94"/>
      <c r="L70" s="94">
        <v>7004.25</v>
      </c>
      <c r="M70" s="94"/>
      <c r="N70" s="94"/>
      <c r="O70" s="94"/>
      <c r="P70" s="94">
        <v>175</v>
      </c>
      <c r="Q70" s="94"/>
      <c r="R70" s="94"/>
      <c r="S70" s="173"/>
      <c r="T70" s="63">
        <f t="shared" si="22"/>
        <v>7179.25</v>
      </c>
      <c r="U70" s="63">
        <f t="shared" si="3"/>
        <v>-0.25</v>
      </c>
    </row>
    <row r="71" spans="1:21" s="64" customFormat="1" ht="11.4" outlineLevel="1">
      <c r="A71" s="38" t="s">
        <v>89</v>
      </c>
      <c r="B71" s="57" t="s">
        <v>123</v>
      </c>
      <c r="C71" s="51">
        <f>D71/D83</f>
        <v>0</v>
      </c>
      <c r="D71" s="58">
        <f t="shared" ref="D71:D76" si="23">E71/12</f>
        <v>0</v>
      </c>
      <c r="E71" s="114">
        <v>0</v>
      </c>
      <c r="F71" s="93"/>
      <c r="G71" s="123"/>
      <c r="H71" s="96"/>
      <c r="I71" s="96"/>
      <c r="J71" s="94"/>
      <c r="K71" s="94"/>
      <c r="L71" s="94"/>
      <c r="M71" s="94"/>
      <c r="N71" s="94"/>
      <c r="O71" s="94"/>
      <c r="P71" s="94"/>
      <c r="Q71" s="94"/>
      <c r="R71" s="94"/>
      <c r="S71" s="173"/>
      <c r="T71" s="63">
        <f t="shared" si="22"/>
        <v>0</v>
      </c>
      <c r="U71" s="63">
        <f t="shared" si="3"/>
        <v>0</v>
      </c>
    </row>
    <row r="72" spans="1:21" s="64" customFormat="1" ht="11.4" outlineLevel="1">
      <c r="A72" s="38" t="s">
        <v>90</v>
      </c>
      <c r="B72" s="57" t="s">
        <v>139</v>
      </c>
      <c r="C72" s="51">
        <f>D72/D83</f>
        <v>0.16816755355437302</v>
      </c>
      <c r="D72" s="58">
        <f t="shared" si="23"/>
        <v>4108.333333333333</v>
      </c>
      <c r="E72" s="114">
        <v>49300</v>
      </c>
      <c r="F72" s="99"/>
      <c r="G72" s="144"/>
      <c r="H72" s="136"/>
      <c r="I72" s="136"/>
      <c r="J72" s="100">
        <v>7800</v>
      </c>
      <c r="K72" s="100">
        <v>5800</v>
      </c>
      <c r="L72" s="100">
        <v>9700</v>
      </c>
      <c r="M72" s="100"/>
      <c r="N72" s="100"/>
      <c r="O72" s="100"/>
      <c r="P72" s="100">
        <v>26000</v>
      </c>
      <c r="Q72" s="100"/>
      <c r="R72" s="100"/>
      <c r="S72" s="174"/>
      <c r="T72" s="63">
        <f t="shared" si="22"/>
        <v>49300</v>
      </c>
      <c r="U72" s="63">
        <f t="shared" si="3"/>
        <v>0</v>
      </c>
    </row>
    <row r="73" spans="1:21" s="64" customFormat="1" ht="11.4" outlineLevel="1">
      <c r="A73" s="38" t="s">
        <v>138</v>
      </c>
      <c r="B73" s="107" t="s">
        <v>29</v>
      </c>
      <c r="C73" s="161">
        <f>D73/D83</f>
        <v>1.8505253104106972E-2</v>
      </c>
      <c r="D73" s="162">
        <f t="shared" si="23"/>
        <v>452.08333333333331</v>
      </c>
      <c r="E73" s="163">
        <v>5425</v>
      </c>
      <c r="F73" s="93"/>
      <c r="G73" s="123"/>
      <c r="H73" s="96"/>
      <c r="I73" s="96"/>
      <c r="J73" s="94">
        <f>4425+1000</f>
        <v>5425</v>
      </c>
      <c r="K73" s="94"/>
      <c r="L73" s="94"/>
      <c r="M73" s="94"/>
      <c r="N73" s="94"/>
      <c r="O73" s="94"/>
      <c r="P73" s="94"/>
      <c r="Q73" s="94"/>
      <c r="R73" s="94"/>
      <c r="S73" s="173"/>
      <c r="T73" s="63">
        <f t="shared" si="22"/>
        <v>5425</v>
      </c>
      <c r="U73" s="63">
        <f t="shared" si="3"/>
        <v>0</v>
      </c>
    </row>
    <row r="74" spans="1:21" s="64" customFormat="1" ht="11.4" outlineLevel="1">
      <c r="A74" s="38" t="s">
        <v>183</v>
      </c>
      <c r="B74" s="164" t="s">
        <v>184</v>
      </c>
      <c r="C74" s="165">
        <f>D74/D83</f>
        <v>9.8021558193477965E-2</v>
      </c>
      <c r="D74" s="166">
        <f t="shared" si="23"/>
        <v>2394.6666666666665</v>
      </c>
      <c r="E74" s="167">
        <v>28736</v>
      </c>
      <c r="F74" s="93"/>
      <c r="G74" s="123"/>
      <c r="H74" s="96"/>
      <c r="I74" s="96"/>
      <c r="J74" s="94"/>
      <c r="K74" s="94"/>
      <c r="L74" s="94"/>
      <c r="M74" s="94"/>
      <c r="N74" s="96">
        <v>28736</v>
      </c>
      <c r="O74" s="94"/>
      <c r="P74" s="94"/>
      <c r="Q74" s="94"/>
      <c r="R74" s="94"/>
      <c r="S74" s="173"/>
      <c r="T74" s="63">
        <f t="shared" si="22"/>
        <v>28736</v>
      </c>
      <c r="U74" s="63">
        <f t="shared" si="3"/>
        <v>0</v>
      </c>
    </row>
    <row r="75" spans="1:21" s="64" customFormat="1" ht="11.4" outlineLevel="1">
      <c r="A75" s="38" t="s">
        <v>186</v>
      </c>
      <c r="B75" s="164" t="s">
        <v>188</v>
      </c>
      <c r="C75" s="165">
        <f>D75/D83</f>
        <v>2.8926183653977349E-2</v>
      </c>
      <c r="D75" s="166">
        <f t="shared" si="23"/>
        <v>706.66666666666663</v>
      </c>
      <c r="E75" s="167">
        <v>8480</v>
      </c>
      <c r="F75" s="93"/>
      <c r="G75" s="123"/>
      <c r="H75" s="96"/>
      <c r="I75" s="96"/>
      <c r="J75" s="94"/>
      <c r="K75" s="94"/>
      <c r="L75" s="94"/>
      <c r="M75" s="94"/>
      <c r="N75" s="94"/>
      <c r="O75" s="94"/>
      <c r="P75" s="94"/>
      <c r="Q75" s="94"/>
      <c r="R75" s="94">
        <v>8480</v>
      </c>
      <c r="S75" s="173"/>
      <c r="T75" s="63">
        <f t="shared" si="22"/>
        <v>8480</v>
      </c>
      <c r="U75" s="63">
        <f t="shared" si="3"/>
        <v>0</v>
      </c>
    </row>
    <row r="76" spans="1:21" s="64" customFormat="1" ht="12" outlineLevel="1" thickBot="1">
      <c r="A76" s="38" t="s">
        <v>187</v>
      </c>
      <c r="B76" s="78" t="s">
        <v>190</v>
      </c>
      <c r="C76" s="154">
        <f>D76/D83</f>
        <v>8.185291308500478E-2</v>
      </c>
      <c r="D76" s="155">
        <f t="shared" si="23"/>
        <v>1999.6666666666667</v>
      </c>
      <c r="E76" s="156">
        <v>23996</v>
      </c>
      <c r="F76" s="157"/>
      <c r="G76" s="158"/>
      <c r="H76" s="159"/>
      <c r="I76" s="159"/>
      <c r="J76" s="160"/>
      <c r="K76" s="160"/>
      <c r="L76" s="160"/>
      <c r="M76" s="160"/>
      <c r="N76" s="160"/>
      <c r="O76" s="160"/>
      <c r="P76" s="160"/>
      <c r="Q76" s="160"/>
      <c r="R76" s="160">
        <v>23996</v>
      </c>
      <c r="S76" s="175"/>
      <c r="T76" s="63">
        <f t="shared" si="22"/>
        <v>23996</v>
      </c>
      <c r="U76" s="63">
        <f t="shared" ref="U76:U81" si="24">E76-T76</f>
        <v>0</v>
      </c>
    </row>
    <row r="77" spans="1:21" ht="13.8" thickBot="1">
      <c r="A77" s="32">
        <v>12</v>
      </c>
      <c r="B77" s="5" t="s">
        <v>31</v>
      </c>
      <c r="C77" s="47">
        <f>D77/D83</f>
        <v>7.5044344385318595E-2</v>
      </c>
      <c r="D77" s="16">
        <f t="shared" si="15"/>
        <v>1833.3333333333333</v>
      </c>
      <c r="E77" s="74">
        <v>22000</v>
      </c>
      <c r="F77" s="23"/>
      <c r="G77" s="137">
        <v>16000</v>
      </c>
      <c r="H77" s="126">
        <v>6000</v>
      </c>
      <c r="I77" s="126"/>
      <c r="J77" s="24"/>
      <c r="K77" s="24"/>
      <c r="L77" s="24"/>
      <c r="M77" s="24"/>
      <c r="N77" s="24"/>
      <c r="O77" s="24"/>
      <c r="P77" s="24"/>
      <c r="Q77" s="24"/>
      <c r="R77" s="24"/>
      <c r="S77" s="169"/>
      <c r="T77" s="25">
        <f>SUM(G77:S77)</f>
        <v>22000</v>
      </c>
      <c r="U77" s="25">
        <f t="shared" si="24"/>
        <v>0</v>
      </c>
    </row>
    <row r="78" spans="1:21" ht="13.8" thickBot="1">
      <c r="A78" s="32">
        <v>13</v>
      </c>
      <c r="B78" s="6" t="s">
        <v>32</v>
      </c>
      <c r="C78" s="43">
        <f>D78/D83</f>
        <v>8.6266884977486691E-3</v>
      </c>
      <c r="D78" s="16">
        <f t="shared" si="15"/>
        <v>210.75</v>
      </c>
      <c r="E78" s="74">
        <v>2529</v>
      </c>
      <c r="F78" s="194"/>
      <c r="G78" s="195">
        <v>3000</v>
      </c>
      <c r="H78" s="196"/>
      <c r="I78" s="196"/>
      <c r="J78" s="197">
        <v>2000</v>
      </c>
      <c r="K78" s="197"/>
      <c r="L78" s="197"/>
      <c r="M78" s="197"/>
      <c r="N78" s="197"/>
      <c r="O78" s="197"/>
      <c r="P78" s="197"/>
      <c r="Q78" s="197"/>
      <c r="R78" s="197"/>
      <c r="S78" s="208"/>
      <c r="T78" s="198">
        <f>SUM(G78:S78)</f>
        <v>5000</v>
      </c>
      <c r="U78" s="29">
        <f t="shared" si="24"/>
        <v>-2471</v>
      </c>
    </row>
    <row r="79" spans="1:21" ht="13.8" thickBot="1">
      <c r="A79" s="68">
        <v>14</v>
      </c>
      <c r="B79" s="69" t="s">
        <v>140</v>
      </c>
      <c r="C79" s="115">
        <f>D79/D83</f>
        <v>0.34111065629690274</v>
      </c>
      <c r="D79" s="67">
        <f t="shared" si="15"/>
        <v>8333.3333333333339</v>
      </c>
      <c r="E79" s="70">
        <v>100000</v>
      </c>
      <c r="F79" s="52"/>
      <c r="G79" s="124"/>
      <c r="H79" s="53"/>
      <c r="I79" s="53"/>
      <c r="J79" s="53"/>
      <c r="K79" s="53">
        <v>30000</v>
      </c>
      <c r="L79" s="53"/>
      <c r="M79" s="53"/>
      <c r="N79" s="53">
        <v>70000</v>
      </c>
      <c r="O79" s="53"/>
      <c r="P79" s="53"/>
      <c r="Q79" s="53"/>
      <c r="R79" s="53"/>
      <c r="S79" s="177"/>
      <c r="T79" s="213">
        <f>SUM(G79:S79)</f>
        <v>100000</v>
      </c>
      <c r="U79" s="109">
        <f t="shared" si="24"/>
        <v>0</v>
      </c>
    </row>
    <row r="80" spans="1:21" ht="13.8" thickBot="1">
      <c r="A80" s="68">
        <v>15</v>
      </c>
      <c r="B80" s="69" t="s">
        <v>111</v>
      </c>
      <c r="C80" s="66">
        <f>D80/D83</f>
        <v>0.96193205075726562</v>
      </c>
      <c r="D80" s="67">
        <f t="shared" si="15"/>
        <v>23500</v>
      </c>
      <c r="E80" s="70">
        <v>282000</v>
      </c>
      <c r="F80" s="52"/>
      <c r="G80" s="124">
        <v>70500</v>
      </c>
      <c r="H80" s="53"/>
      <c r="I80" s="53"/>
      <c r="J80" s="53">
        <v>70500</v>
      </c>
      <c r="K80" s="53"/>
      <c r="L80" s="53"/>
      <c r="M80" s="53">
        <v>70500</v>
      </c>
      <c r="N80" s="53"/>
      <c r="O80" s="53"/>
      <c r="P80" s="53"/>
      <c r="Q80" s="53">
        <v>70500</v>
      </c>
      <c r="R80" s="53"/>
      <c r="S80" s="177"/>
      <c r="T80" s="109">
        <f>SUM(G80:S80)</f>
        <v>282000</v>
      </c>
      <c r="U80" s="109">
        <f t="shared" si="24"/>
        <v>0</v>
      </c>
    </row>
    <row r="81" spans="1:21" ht="13.8" thickBot="1">
      <c r="A81" s="221" t="s">
        <v>33</v>
      </c>
      <c r="B81" s="222"/>
      <c r="C81" s="71">
        <f>D81/D83</f>
        <v>10.995606494746896</v>
      </c>
      <c r="D81" s="72">
        <f t="shared" si="15"/>
        <v>268622.66666666669</v>
      </c>
      <c r="E81" s="73">
        <f t="shared" ref="E81:K81" si="25">E5+E6+E7+E8+E11+E16+E17+E28+E34+E47+E60+E77+E78-E79-E80</f>
        <v>3223472</v>
      </c>
      <c r="F81" s="212">
        <f t="shared" si="25"/>
        <v>5350.82</v>
      </c>
      <c r="G81" s="184">
        <f t="shared" si="25"/>
        <v>133449.29</v>
      </c>
      <c r="H81" s="184">
        <f t="shared" si="25"/>
        <v>242997.65999999997</v>
      </c>
      <c r="I81" s="184">
        <f t="shared" si="25"/>
        <v>264376.39999999997</v>
      </c>
      <c r="J81" s="184">
        <f t="shared" si="25"/>
        <v>242240.18</v>
      </c>
      <c r="K81" s="184">
        <f t="shared" si="25"/>
        <v>203343.40399999998</v>
      </c>
      <c r="L81" s="30">
        <f t="shared" ref="L81" si="26">L5+L6+L7+L8+L11+L16+L17+L28+L34+L47+L60+L77+L78-L79-L80</f>
        <v>329414.45999999996</v>
      </c>
      <c r="M81" s="184">
        <f t="shared" ref="M81:S81" si="27">M5+M6+M7+M8+M11+M16+M17+M28+M34+M47+M60+M77+M78-M79-M80</f>
        <v>256511.27000000002</v>
      </c>
      <c r="N81" s="184">
        <f t="shared" si="27"/>
        <v>276300.26</v>
      </c>
      <c r="O81" s="184">
        <f t="shared" si="27"/>
        <v>455779.908</v>
      </c>
      <c r="P81" s="184">
        <f t="shared" si="27"/>
        <v>268623.90999999997</v>
      </c>
      <c r="Q81" s="184">
        <f t="shared" si="27"/>
        <v>130494.59999999998</v>
      </c>
      <c r="R81" s="184">
        <f t="shared" si="27"/>
        <v>335998.38200000004</v>
      </c>
      <c r="S81" s="209">
        <f t="shared" si="27"/>
        <v>86414.38</v>
      </c>
      <c r="T81" s="31">
        <f>SUM(G81:S81)</f>
        <v>3225944.1040000003</v>
      </c>
      <c r="U81" s="31">
        <f t="shared" si="24"/>
        <v>-2472.1040000002831</v>
      </c>
    </row>
    <row r="82" spans="1:21" s="11" customFormat="1" ht="10.199999999999999"/>
    <row r="83" spans="1:21">
      <c r="A83" s="217" t="s">
        <v>34</v>
      </c>
      <c r="B83" s="217"/>
      <c r="C83" s="41"/>
      <c r="D83" s="1">
        <v>24430</v>
      </c>
      <c r="E83" s="2" t="s">
        <v>35</v>
      </c>
    </row>
    <row r="84" spans="1:21" s="11" customFormat="1" ht="10.199999999999999"/>
    <row r="85" spans="1:21">
      <c r="A85" s="218" t="s">
        <v>124</v>
      </c>
      <c r="B85" s="218"/>
      <c r="C85" s="40"/>
    </row>
    <row r="86" spans="1:21">
      <c r="A86" s="218" t="s">
        <v>36</v>
      </c>
      <c r="B86" s="218"/>
      <c r="C86" s="40"/>
      <c r="D86" s="42">
        <f>D81/D83</f>
        <v>10.995606494746896</v>
      </c>
      <c r="E86" s="2" t="s">
        <v>37</v>
      </c>
    </row>
    <row r="88" spans="1:21">
      <c r="P88" t="s">
        <v>193</v>
      </c>
    </row>
  </sheetData>
  <mergeCells count="10">
    <mergeCell ref="U3:U4"/>
    <mergeCell ref="A83:B83"/>
    <mergeCell ref="A85:B85"/>
    <mergeCell ref="A86:B86"/>
    <mergeCell ref="A1:E1"/>
    <mergeCell ref="A2:E2"/>
    <mergeCell ref="A3:E3"/>
    <mergeCell ref="A81:B81"/>
    <mergeCell ref="F3:R3"/>
    <mergeCell ref="T3:T4"/>
  </mergeCells>
  <phoneticPr fontId="4" type="noConversion"/>
  <pageMargins left="0.78740157480314965" right="0.19685039370078741" top="0.19685039370078741" bottom="0.19685039370078741" header="0.51181102362204722" footer="0.51181102362204722"/>
  <pageSetup paperSize="9" scale="56" firstPageNumber="0" orientation="landscape" horizontalDpi="300" verticalDpi="300" r:id="rId1"/>
  <headerFooter alignWithMargins="0"/>
  <ignoredErrors>
    <ignoredError sqref="E55 T12 T14 T21:T27 T50:T59 T61:T76 T78 G60:H60 E60 I49 J55 H13" formulaRange="1"/>
    <ignoredError sqref="A14:A15 A50:A51 A21:A24 A25:A27 A73:A76 A56:A57" twoDigitTextYear="1"/>
    <ignoredError sqref="D8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C19" sqref="C19"/>
    </sheetView>
  </sheetViews>
  <sheetFormatPr defaultRowHeight="13.2"/>
  <cols>
    <col min="2" max="2" width="11.109375" customWidth="1"/>
    <col min="3" max="5" width="13.88671875" customWidth="1"/>
    <col min="6" max="6" width="15.109375" customWidth="1"/>
    <col min="7" max="7" width="14.44140625" customWidth="1"/>
  </cols>
  <sheetData>
    <row r="1" spans="1:7" ht="31.8" customHeight="1">
      <c r="A1" s="225" t="s">
        <v>148</v>
      </c>
      <c r="B1" s="225"/>
      <c r="C1" s="225"/>
      <c r="D1" s="225"/>
      <c r="E1" s="225"/>
      <c r="F1" s="225"/>
      <c r="G1" s="225"/>
    </row>
    <row r="3" spans="1:7" ht="15" customHeight="1">
      <c r="A3" s="116" t="s">
        <v>155</v>
      </c>
      <c r="B3" s="117"/>
      <c r="C3" s="118">
        <v>40544</v>
      </c>
      <c r="D3" s="118" t="s">
        <v>161</v>
      </c>
      <c r="E3" s="118" t="s">
        <v>162</v>
      </c>
      <c r="F3" s="118">
        <v>40908</v>
      </c>
      <c r="G3" s="117" t="s">
        <v>192</v>
      </c>
    </row>
    <row r="4" spans="1:7" ht="15" customHeight="1">
      <c r="A4" s="117" t="s">
        <v>149</v>
      </c>
      <c r="B4" s="117">
        <v>137</v>
      </c>
      <c r="C4" s="117">
        <v>195196.4</v>
      </c>
      <c r="D4" s="117">
        <v>13706262.16</v>
      </c>
      <c r="E4" s="117">
        <v>12778243.98</v>
      </c>
      <c r="F4" s="117">
        <f>C4+D4-E4</f>
        <v>1123214.58</v>
      </c>
      <c r="G4" s="117"/>
    </row>
    <row r="5" spans="1:7" ht="15" customHeight="1">
      <c r="A5" s="117"/>
      <c r="B5" s="117">
        <v>167</v>
      </c>
      <c r="C5" s="117">
        <f>662499.28+1500000</f>
        <v>2162499.2800000003</v>
      </c>
      <c r="D5" s="117">
        <f>6074447.69-5500000</f>
        <v>574447.69000000041</v>
      </c>
      <c r="E5" s="117">
        <f>4050183.46-4000000</f>
        <v>50183.459999999963</v>
      </c>
      <c r="F5" s="117">
        <f>C5+D5-E5</f>
        <v>2686763.5100000007</v>
      </c>
      <c r="G5" s="117"/>
    </row>
    <row r="6" spans="1:7" ht="15" customHeight="1">
      <c r="A6" s="117" t="s">
        <v>156</v>
      </c>
      <c r="B6" s="117"/>
      <c r="C6" s="116">
        <f>SUM(C4:C5)</f>
        <v>2357695.6800000002</v>
      </c>
      <c r="D6" s="116">
        <f>SUM(D4:D5)</f>
        <v>14280709.850000001</v>
      </c>
      <c r="E6" s="116">
        <f>SUM(E4:E5)</f>
        <v>12828427.440000001</v>
      </c>
      <c r="F6" s="116">
        <f>SUM(F4:F5)</f>
        <v>3809978.0900000008</v>
      </c>
      <c r="G6" s="117"/>
    </row>
    <row r="7" spans="1:7" ht="15" customHeight="1">
      <c r="A7" s="117" t="s">
        <v>150</v>
      </c>
      <c r="B7" s="117">
        <v>137</v>
      </c>
      <c r="C7" s="117">
        <v>0</v>
      </c>
      <c r="D7" s="117">
        <f>14850856.33-14698.91</f>
        <v>14836157.42</v>
      </c>
      <c r="E7" s="117">
        <v>14812945.699999999</v>
      </c>
      <c r="F7" s="117">
        <f>C7+D7-E7</f>
        <v>23211.720000000671</v>
      </c>
      <c r="G7" s="117"/>
    </row>
    <row r="8" spans="1:7" ht="15" customHeight="1">
      <c r="A8" s="117"/>
      <c r="B8" s="117">
        <v>167</v>
      </c>
      <c r="C8" s="117">
        <v>43744.35</v>
      </c>
      <c r="D8" s="117">
        <f>528789.95+14698.91</f>
        <v>543488.86</v>
      </c>
      <c r="E8" s="117">
        <v>574447.68999999994</v>
      </c>
      <c r="F8" s="117">
        <f>C8+D8-E8</f>
        <v>12785.520000000019</v>
      </c>
      <c r="G8" s="117"/>
    </row>
    <row r="9" spans="1:7" ht="15" customHeight="1">
      <c r="A9" s="117" t="s">
        <v>157</v>
      </c>
      <c r="B9" s="117"/>
      <c r="C9" s="116">
        <f>SUM(C7:C8)</f>
        <v>43744.35</v>
      </c>
      <c r="D9" s="116">
        <f>SUM(D7:D8)</f>
        <v>15379646.279999999</v>
      </c>
      <c r="E9" s="116">
        <f>SUM(E7:E8)</f>
        <v>15387393.389999999</v>
      </c>
      <c r="F9" s="116">
        <f>SUM(F7:F8)</f>
        <v>35997.240000000689</v>
      </c>
      <c r="G9" s="117"/>
    </row>
    <row r="10" spans="1:7" ht="15" customHeight="1">
      <c r="A10" s="117" t="s">
        <v>151</v>
      </c>
      <c r="B10" s="117"/>
      <c r="C10" s="116">
        <f>2416.49-423.54</f>
        <v>1992.9499999999998</v>
      </c>
      <c r="D10" s="116">
        <v>104896.39</v>
      </c>
      <c r="E10" s="116">
        <v>106889.34</v>
      </c>
      <c r="F10" s="117">
        <f>C10+D10-E10</f>
        <v>0</v>
      </c>
      <c r="G10" s="117"/>
    </row>
    <row r="11" spans="1:7" ht="15" customHeight="1">
      <c r="A11" s="117"/>
      <c r="B11" s="117"/>
      <c r="C11" s="117"/>
      <c r="D11" s="117"/>
      <c r="E11" s="117"/>
      <c r="F11" s="117"/>
      <c r="G11" s="117"/>
    </row>
    <row r="12" spans="1:7" ht="15" customHeight="1">
      <c r="A12" s="116" t="s">
        <v>152</v>
      </c>
      <c r="B12" s="117"/>
      <c r="C12" s="185">
        <v>40541</v>
      </c>
      <c r="D12" s="117" t="s">
        <v>163</v>
      </c>
      <c r="E12" s="117" t="s">
        <v>164</v>
      </c>
      <c r="F12" s="185">
        <v>40906</v>
      </c>
      <c r="G12" s="117"/>
    </row>
    <row r="13" spans="1:7" ht="15" customHeight="1">
      <c r="A13" s="117" t="s">
        <v>153</v>
      </c>
      <c r="B13" s="117">
        <v>137</v>
      </c>
      <c r="C13" s="117">
        <v>1286299.8500000001</v>
      </c>
      <c r="D13">
        <v>15091399.15</v>
      </c>
      <c r="E13">
        <v>14151657.810000001</v>
      </c>
      <c r="F13" s="117">
        <f>C13+E13-D13</f>
        <v>346558.50999999978</v>
      </c>
      <c r="G13" s="117"/>
    </row>
    <row r="14" spans="1:7" ht="15" customHeight="1">
      <c r="A14" s="117"/>
      <c r="B14" s="117">
        <v>167</v>
      </c>
      <c r="C14" s="117">
        <v>49194.559999999998</v>
      </c>
      <c r="D14" s="117">
        <v>528789.94999999995</v>
      </c>
      <c r="E14" s="117">
        <f>77135.48+439555.45</f>
        <v>516690.93</v>
      </c>
      <c r="F14" s="117">
        <f>C14+E14-D14</f>
        <v>37095.540000000037</v>
      </c>
      <c r="G14" s="117"/>
    </row>
    <row r="15" spans="1:7" ht="15" customHeight="1">
      <c r="A15" s="117" t="s">
        <v>165</v>
      </c>
      <c r="B15" s="117"/>
      <c r="C15" s="116">
        <f>SUM(C13:C14)</f>
        <v>1335494.4100000001</v>
      </c>
      <c r="D15" s="116">
        <f>SUM(D13:D14)</f>
        <v>15620189.1</v>
      </c>
      <c r="E15" s="116">
        <f>SUM(E13:E14)</f>
        <v>14668348.74</v>
      </c>
      <c r="F15" s="116">
        <f>SUM(F13:F14)</f>
        <v>383654.04999999981</v>
      </c>
      <c r="G15" s="117"/>
    </row>
    <row r="16" spans="1:7" ht="15" customHeight="1">
      <c r="A16" s="117"/>
      <c r="B16" s="117"/>
      <c r="C16" s="116"/>
      <c r="D16" s="116" t="s">
        <v>164</v>
      </c>
      <c r="E16" s="116" t="s">
        <v>166</v>
      </c>
      <c r="F16" s="116"/>
      <c r="G16" s="117"/>
    </row>
    <row r="17" spans="1:7" ht="15" customHeight="1">
      <c r="A17" s="117" t="s">
        <v>154</v>
      </c>
      <c r="B17" s="117"/>
      <c r="C17" s="117">
        <v>0</v>
      </c>
      <c r="D17">
        <v>3652789.75</v>
      </c>
      <c r="E17" s="117">
        <v>3560867.41</v>
      </c>
      <c r="F17" s="117">
        <f>-94422.34</f>
        <v>-94422.34</v>
      </c>
      <c r="G17" s="117"/>
    </row>
    <row r="18" spans="1:7" ht="15" customHeight="1">
      <c r="A18" s="117" t="s">
        <v>159</v>
      </c>
      <c r="B18" s="117"/>
      <c r="C18" s="116">
        <f>C15+C17</f>
        <v>1335494.4100000001</v>
      </c>
      <c r="D18" s="116">
        <f>D15+E17</f>
        <v>19181056.509999998</v>
      </c>
      <c r="E18" s="116"/>
      <c r="F18" s="116">
        <f>F15+F17</f>
        <v>289231.70999999985</v>
      </c>
      <c r="G18" s="117"/>
    </row>
    <row r="19" spans="1:7" ht="15" customHeight="1">
      <c r="A19" s="117" t="s">
        <v>158</v>
      </c>
      <c r="B19" s="117"/>
      <c r="C19" s="116">
        <f>C4+C7+C13+C17</f>
        <v>1481496.25</v>
      </c>
      <c r="D19" s="116"/>
      <c r="E19" s="116"/>
      <c r="F19" s="116">
        <f>F4+F7+F13+F17</f>
        <v>1398562.4700000004</v>
      </c>
      <c r="G19" s="116"/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C8" sqref="C8"/>
    </sheetView>
  </sheetViews>
  <sheetFormatPr defaultRowHeight="13.2"/>
  <cols>
    <col min="2" max="2" width="11.109375" customWidth="1"/>
    <col min="3" max="5" width="13.88671875" customWidth="1"/>
    <col min="6" max="6" width="15.109375" customWidth="1"/>
    <col min="7" max="7" width="10.77734375" customWidth="1"/>
  </cols>
  <sheetData>
    <row r="1" spans="1:7" ht="31.8" customHeight="1">
      <c r="A1" s="225" t="s">
        <v>148</v>
      </c>
      <c r="B1" s="225"/>
      <c r="C1" s="225"/>
      <c r="D1" s="225"/>
      <c r="E1" s="225"/>
      <c r="F1" s="225"/>
      <c r="G1" s="225"/>
    </row>
    <row r="3" spans="1:7" ht="15" customHeight="1">
      <c r="A3" s="116" t="s">
        <v>155</v>
      </c>
      <c r="B3" s="117"/>
      <c r="C3" s="118">
        <v>40573</v>
      </c>
      <c r="D3" s="118" t="s">
        <v>161</v>
      </c>
      <c r="E3" s="118" t="s">
        <v>162</v>
      </c>
      <c r="F3" s="118">
        <v>40662</v>
      </c>
      <c r="G3" s="117" t="s">
        <v>160</v>
      </c>
    </row>
    <row r="4" spans="1:7" ht="15" customHeight="1">
      <c r="A4" s="117" t="s">
        <v>149</v>
      </c>
      <c r="B4" s="117">
        <v>137</v>
      </c>
      <c r="C4" s="117">
        <v>194943.86</v>
      </c>
      <c r="D4" s="117">
        <v>3792406.79</v>
      </c>
      <c r="E4" s="117">
        <v>3973905.48</v>
      </c>
      <c r="F4" s="117">
        <f>C4+D4-E4</f>
        <v>13445.169999999925</v>
      </c>
      <c r="G4" s="117"/>
    </row>
    <row r="5" spans="1:7" ht="15" customHeight="1">
      <c r="A5" s="117"/>
      <c r="B5" s="117">
        <v>167</v>
      </c>
      <c r="C5" s="117">
        <v>2227897.83</v>
      </c>
      <c r="D5" s="117">
        <v>150468</v>
      </c>
      <c r="E5" s="117">
        <v>1000</v>
      </c>
      <c r="F5" s="117">
        <f>C5+D5-E5</f>
        <v>2377365.83</v>
      </c>
      <c r="G5" s="117"/>
    </row>
    <row r="6" spans="1:7" ht="15" customHeight="1">
      <c r="A6" s="117" t="s">
        <v>156</v>
      </c>
      <c r="B6" s="117"/>
      <c r="C6" s="116">
        <f>SUM(C4:C5)</f>
        <v>2422841.69</v>
      </c>
      <c r="D6" s="116">
        <f>SUM(D4:D5)</f>
        <v>3942874.79</v>
      </c>
      <c r="E6" s="116">
        <f>SUM(E4:E5)</f>
        <v>3974905.48</v>
      </c>
      <c r="F6" s="116">
        <f>SUM(F4:F5)</f>
        <v>2390811</v>
      </c>
      <c r="G6" s="117"/>
    </row>
    <row r="7" spans="1:7" ht="15" customHeight="1">
      <c r="A7" s="117" t="s">
        <v>150</v>
      </c>
      <c r="B7" s="117">
        <v>137</v>
      </c>
      <c r="C7" s="117">
        <f>95915.31-C8</f>
        <v>54206.29</v>
      </c>
      <c r="D7" s="117">
        <f>4293254.19-111176.69</f>
        <v>4182077.5000000005</v>
      </c>
      <c r="E7" s="117">
        <f>4289692.5-113058</f>
        <v>4176634.5</v>
      </c>
      <c r="F7" s="117">
        <f>C7+D7-E7</f>
        <v>59649.290000000037</v>
      </c>
      <c r="G7" s="117"/>
    </row>
    <row r="8" spans="1:7" ht="15" customHeight="1">
      <c r="A8" s="117"/>
      <c r="B8" s="117">
        <v>167</v>
      </c>
      <c r="C8" s="117">
        <v>41709.019999999997</v>
      </c>
      <c r="D8" s="117">
        <v>111176.69</v>
      </c>
      <c r="E8" s="117">
        <v>113058</v>
      </c>
      <c r="F8" s="117">
        <v>39827.71</v>
      </c>
      <c r="G8" s="117"/>
    </row>
    <row r="9" spans="1:7" ht="15" customHeight="1">
      <c r="A9" s="117" t="s">
        <v>157</v>
      </c>
      <c r="B9" s="117"/>
      <c r="C9" s="116">
        <f>SUM(C7:C8)</f>
        <v>95915.31</v>
      </c>
      <c r="D9" s="116">
        <f>SUM(D7:D8)</f>
        <v>4293254.1900000004</v>
      </c>
      <c r="E9" s="116">
        <f>SUM(E7:E8)</f>
        <v>4289692.5</v>
      </c>
      <c r="F9" s="116">
        <f>SUM(F7:F8)</f>
        <v>99477.000000000029</v>
      </c>
      <c r="G9" s="117"/>
    </row>
    <row r="10" spans="1:7" ht="15" customHeight="1">
      <c r="A10" s="117" t="s">
        <v>151</v>
      </c>
      <c r="B10" s="117"/>
      <c r="C10" s="116">
        <v>2416.4899999999998</v>
      </c>
      <c r="D10" s="116">
        <v>25445.5</v>
      </c>
      <c r="E10" s="116">
        <v>27861.99</v>
      </c>
      <c r="F10" s="117">
        <f>C10+D10-E10</f>
        <v>0</v>
      </c>
      <c r="G10" s="117"/>
    </row>
    <row r="11" spans="1:7" ht="15" customHeight="1">
      <c r="A11" s="117"/>
      <c r="B11" s="117"/>
      <c r="C11" s="117"/>
      <c r="D11" s="117"/>
      <c r="E11" s="117"/>
      <c r="F11" s="117"/>
      <c r="G11" s="117"/>
    </row>
    <row r="12" spans="1:7" ht="15" customHeight="1">
      <c r="A12" s="116" t="s">
        <v>152</v>
      </c>
      <c r="B12" s="117"/>
      <c r="C12" s="117"/>
      <c r="D12" s="117" t="s">
        <v>163</v>
      </c>
      <c r="E12" s="117" t="s">
        <v>164</v>
      </c>
      <c r="F12" s="117"/>
      <c r="G12" s="117"/>
    </row>
    <row r="13" spans="1:7" ht="15" customHeight="1">
      <c r="A13" s="117" t="s">
        <v>153</v>
      </c>
      <c r="B13" s="117">
        <v>137</v>
      </c>
      <c r="C13" s="117">
        <v>1152123.1100000001</v>
      </c>
      <c r="D13">
        <f>4297428.79-124818.31</f>
        <v>4172610.48</v>
      </c>
      <c r="E13">
        <f>4676274.3-129243.69-11476.26</f>
        <v>4535554.3499999996</v>
      </c>
      <c r="F13" s="117">
        <f>C13+E13-D13</f>
        <v>1515066.98</v>
      </c>
      <c r="G13" s="117"/>
    </row>
    <row r="14" spans="1:7" ht="15" customHeight="1">
      <c r="A14" s="117"/>
      <c r="B14" s="117">
        <v>167</v>
      </c>
      <c r="C14" s="117">
        <v>49194.559999999998</v>
      </c>
      <c r="D14" s="117">
        <f>125143.15-324.84</f>
        <v>124818.31</v>
      </c>
      <c r="E14" s="117">
        <v>129243.69</v>
      </c>
      <c r="F14" s="117">
        <f>C14+E14-D14</f>
        <v>53619.94</v>
      </c>
      <c r="G14" s="117"/>
    </row>
    <row r="15" spans="1:7" ht="15" customHeight="1">
      <c r="A15" s="117" t="s">
        <v>165</v>
      </c>
      <c r="B15" s="117"/>
      <c r="C15" s="116">
        <f>SUM(C13:C14)</f>
        <v>1201317.6700000002</v>
      </c>
      <c r="D15" s="116">
        <f>SUM(D13:D14)</f>
        <v>4297428.79</v>
      </c>
      <c r="E15" s="116">
        <f>SUM(E13:E14)</f>
        <v>4664798.04</v>
      </c>
      <c r="F15" s="116">
        <f>SUM(F13:F14)</f>
        <v>1568686.92</v>
      </c>
      <c r="G15" s="117"/>
    </row>
    <row r="16" spans="1:7" ht="15" customHeight="1">
      <c r="A16" s="117"/>
      <c r="B16" s="117"/>
      <c r="C16" s="116"/>
      <c r="D16" s="116" t="s">
        <v>164</v>
      </c>
      <c r="E16" s="116" t="s">
        <v>166</v>
      </c>
      <c r="F16" s="116"/>
      <c r="G16" s="117"/>
    </row>
    <row r="17" spans="1:7" ht="15" customHeight="1">
      <c r="A17" s="117" t="s">
        <v>154</v>
      </c>
      <c r="B17" s="117"/>
      <c r="C17" s="117">
        <v>0</v>
      </c>
      <c r="D17">
        <v>3652789.75</v>
      </c>
      <c r="E17" s="117">
        <v>3560867.41</v>
      </c>
      <c r="F17" s="117">
        <f>-94422.34</f>
        <v>-94422.34</v>
      </c>
      <c r="G17" s="117"/>
    </row>
    <row r="18" spans="1:7" ht="15" customHeight="1">
      <c r="A18" s="117" t="s">
        <v>159</v>
      </c>
      <c r="B18" s="117"/>
      <c r="C18" s="116">
        <f>C15+C17</f>
        <v>1201317.6700000002</v>
      </c>
      <c r="D18" s="116">
        <f>D15+E17</f>
        <v>7858296.2000000002</v>
      </c>
      <c r="E18" s="116"/>
      <c r="F18" s="116">
        <f>F15+F17</f>
        <v>1474264.5799999998</v>
      </c>
      <c r="G18" s="117"/>
    </row>
    <row r="19" spans="1:7" ht="15" customHeight="1">
      <c r="A19" s="117" t="s">
        <v>158</v>
      </c>
      <c r="B19" s="117"/>
      <c r="C19" s="116">
        <f>C4+C7+C13+C17</f>
        <v>1401273.26</v>
      </c>
      <c r="D19" s="116"/>
      <c r="E19" s="116"/>
      <c r="F19" s="116">
        <f>F4+F7+F13+F17</f>
        <v>1493739.0999999999</v>
      </c>
      <c r="G19" s="116"/>
    </row>
  </sheetData>
  <mergeCells count="1">
    <mergeCell ref="A1:G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F1" sqref="F1"/>
    </sheetView>
  </sheetViews>
  <sheetFormatPr defaultRowHeight="13.2"/>
  <cols>
    <col min="1" max="1" width="19.109375" customWidth="1"/>
    <col min="2" max="2" width="12.33203125" customWidth="1"/>
  </cols>
  <sheetData>
    <row r="1" spans="1:7">
      <c r="A1" t="s">
        <v>171</v>
      </c>
      <c r="B1">
        <v>1236070.04</v>
      </c>
      <c r="C1">
        <f>278995.18+500000+76715.79+173829.31+32400</f>
        <v>1061940.28</v>
      </c>
      <c r="D1">
        <f>B1-C1</f>
        <v>174129.76</v>
      </c>
      <c r="F1">
        <v>119062.7</v>
      </c>
      <c r="G1" t="s">
        <v>172</v>
      </c>
    </row>
    <row r="2" spans="1:7">
      <c r="A2" t="s">
        <v>167</v>
      </c>
      <c r="B2">
        <v>5821.5</v>
      </c>
      <c r="D2">
        <v>5821.5</v>
      </c>
      <c r="F2">
        <v>3700</v>
      </c>
      <c r="G2" t="s">
        <v>173</v>
      </c>
    </row>
    <row r="3" spans="1:7">
      <c r="A3" t="s">
        <v>168</v>
      </c>
      <c r="B3">
        <v>56482</v>
      </c>
      <c r="D3">
        <v>56482</v>
      </c>
      <c r="F3">
        <v>29625</v>
      </c>
      <c r="G3" t="s">
        <v>174</v>
      </c>
    </row>
    <row r="4" spans="1:7">
      <c r="A4" t="s">
        <v>169</v>
      </c>
      <c r="B4">
        <f>3000+870</f>
        <v>3870</v>
      </c>
      <c r="D4">
        <f>3000+870</f>
        <v>3870</v>
      </c>
      <c r="F4">
        <v>16658.400000000001</v>
      </c>
    </row>
    <row r="5" spans="1:7">
      <c r="A5" t="s">
        <v>170</v>
      </c>
      <c r="B5">
        <v>1100</v>
      </c>
      <c r="D5">
        <v>1100</v>
      </c>
      <c r="F5">
        <v>75000</v>
      </c>
    </row>
    <row r="6" spans="1:7">
      <c r="D6">
        <v>37500</v>
      </c>
      <c r="F6">
        <v>24000</v>
      </c>
    </row>
    <row r="7" spans="1:7">
      <c r="D7">
        <v>500</v>
      </c>
    </row>
    <row r="8" spans="1:7">
      <c r="D8">
        <v>-1650.82</v>
      </c>
    </row>
    <row r="9" spans="1:7">
      <c r="D9">
        <v>-19994.82</v>
      </c>
    </row>
    <row r="10" spans="1:7">
      <c r="B10">
        <f>SUM(B1:B7)</f>
        <v>1303343.54</v>
      </c>
      <c r="D10">
        <f>SUM(D1:D9)</f>
        <v>257757.62</v>
      </c>
      <c r="F10">
        <f>SUM(F1:F9)</f>
        <v>268046.09999999998</v>
      </c>
      <c r="G10">
        <f>D10-F10</f>
        <v>-10288.479999999981</v>
      </c>
    </row>
  </sheetData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Смета</vt:lpstr>
      <vt:lpstr>фин отчет</vt:lpstr>
      <vt:lpstr>Лист2</vt:lpstr>
      <vt:lpstr>январь</vt:lpstr>
      <vt:lpstr>Смета!Область_печати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Максим</cp:lastModifiedBy>
  <cp:lastPrinted>2012-01-17T19:00:19Z</cp:lastPrinted>
  <dcterms:created xsi:type="dcterms:W3CDTF">2010-12-02T20:37:32Z</dcterms:created>
  <dcterms:modified xsi:type="dcterms:W3CDTF">2012-03-09T11:57:26Z</dcterms:modified>
</cp:coreProperties>
</file>