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Лист1!$A$1:$U$43</definedName>
  </definedNames>
  <calcPr calcId="125725" refMode="R1C1"/>
</workbook>
</file>

<file path=xl/calcChain.xml><?xml version="1.0" encoding="utf-8"?>
<calcChain xmlns="http://schemas.openxmlformats.org/spreadsheetml/2006/main">
  <c r="U37" i="1"/>
  <c r="U17"/>
  <c r="T36"/>
  <c r="T11"/>
  <c r="T15"/>
  <c r="O12" l="1"/>
  <c r="P5"/>
  <c r="O5"/>
  <c r="N5"/>
  <c r="M5"/>
  <c r="H5"/>
  <c r="G5"/>
  <c r="Q5"/>
  <c r="P6"/>
  <c r="O6"/>
  <c r="M6"/>
  <c r="L5"/>
  <c r="K5" l="1"/>
  <c r="K6"/>
  <c r="J5"/>
  <c r="J6"/>
  <c r="I5"/>
  <c r="I6"/>
  <c r="H6"/>
  <c r="R5"/>
  <c r="R10"/>
  <c r="R6"/>
  <c r="R17"/>
  <c r="G6"/>
  <c r="D22"/>
  <c r="T35"/>
  <c r="T9"/>
  <c r="U9" s="1"/>
  <c r="T10"/>
  <c r="U10" s="1"/>
  <c r="U11"/>
  <c r="T12"/>
  <c r="U12" s="1"/>
  <c r="T13"/>
  <c r="U13" s="1"/>
  <c r="D9"/>
  <c r="C9" s="1"/>
  <c r="T6"/>
  <c r="U6" s="1"/>
  <c r="P17"/>
  <c r="G17"/>
  <c r="O17"/>
  <c r="N17"/>
  <c r="L37"/>
  <c r="T5"/>
  <c r="U5" s="1"/>
  <c r="E37" i="2"/>
  <c r="D36"/>
  <c r="C36"/>
  <c r="D35"/>
  <c r="D37"/>
  <c r="D43"/>
  <c r="C35"/>
  <c r="D34"/>
  <c r="C34"/>
  <c r="C37"/>
  <c r="D22"/>
  <c r="E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C17"/>
  <c r="D17"/>
  <c r="D26"/>
  <c r="D27"/>
  <c r="T8" i="1"/>
  <c r="U8" s="1"/>
  <c r="T14"/>
  <c r="U14" s="1"/>
  <c r="U15"/>
  <c r="T16"/>
  <c r="U16" s="1"/>
  <c r="T7"/>
  <c r="U7" s="1"/>
  <c r="F37"/>
  <c r="G37"/>
  <c r="S37"/>
  <c r="S17"/>
  <c r="T34"/>
  <c r="F17"/>
  <c r="M17"/>
  <c r="K17"/>
  <c r="D15"/>
  <c r="C15"/>
  <c r="U35"/>
  <c r="D35"/>
  <c r="C35" s="1"/>
  <c r="D13"/>
  <c r="C13" s="1"/>
  <c r="D16"/>
  <c r="C16" s="1"/>
  <c r="D34"/>
  <c r="D36"/>
  <c r="H37"/>
  <c r="I37"/>
  <c r="J37"/>
  <c r="K37"/>
  <c r="M37"/>
  <c r="N37"/>
  <c r="O37"/>
  <c r="P37"/>
  <c r="Q37"/>
  <c r="R37"/>
  <c r="U36"/>
  <c r="D14"/>
  <c r="C14" s="1"/>
  <c r="D11"/>
  <c r="C11" s="1"/>
  <c r="D12"/>
  <c r="C12" s="1"/>
  <c r="D5"/>
  <c r="D6"/>
  <c r="D10"/>
  <c r="C10"/>
  <c r="I17"/>
  <c r="D8"/>
  <c r="C8" s="1"/>
  <c r="D7"/>
  <c r="C7"/>
  <c r="Q17"/>
  <c r="C6"/>
  <c r="J17"/>
  <c r="L17"/>
  <c r="D25" i="2"/>
  <c r="C34" i="1"/>
  <c r="H17"/>
  <c r="D37" l="1"/>
  <c r="D43" s="1"/>
  <c r="C36"/>
  <c r="T37"/>
  <c r="T17"/>
  <c r="C37"/>
  <c r="U34"/>
  <c r="D17"/>
  <c r="D26" s="1"/>
  <c r="D27" s="1"/>
  <c r="C5"/>
  <c r="C17" s="1"/>
  <c r="D25" l="1"/>
</calcChain>
</file>

<file path=xl/comments1.xml><?xml version="1.0" encoding="utf-8"?>
<comments xmlns="http://schemas.openxmlformats.org/spreadsheetml/2006/main">
  <authors>
    <author>Владелец</author>
  </authors>
  <commentList>
    <comment ref="O16" authorId="0">
      <text>
        <r>
          <rPr>
            <b/>
            <sz val="9"/>
            <color indexed="81"/>
            <rFont val="Tahoma"/>
            <family val="2"/>
            <charset val="204"/>
          </rPr>
          <t>Владелец:</t>
        </r>
        <r>
          <rPr>
            <sz val="9"/>
            <color indexed="81"/>
            <rFont val="Tahoma"/>
            <family val="2"/>
            <charset val="204"/>
          </rPr>
          <t xml:space="preserve">
Огнетушители в машинные помещения и кронштейны к ним
</t>
        </r>
      </text>
    </comment>
    <comment ref="P16" authorId="0">
      <text>
        <r>
          <rPr>
            <b/>
            <sz val="9"/>
            <color indexed="81"/>
            <rFont val="Tahoma"/>
            <family val="2"/>
            <charset val="204"/>
          </rPr>
          <t>Владелец:</t>
        </r>
        <r>
          <rPr>
            <sz val="9"/>
            <color indexed="81"/>
            <rFont val="Tahoma"/>
            <family val="2"/>
            <charset val="204"/>
          </rPr>
          <t xml:space="preserve">
Наклейки в кабины лифтов
</t>
        </r>
      </text>
    </comment>
  </commentList>
</comments>
</file>

<file path=xl/sharedStrings.xml><?xml version="1.0" encoding="utf-8"?>
<sst xmlns="http://schemas.openxmlformats.org/spreadsheetml/2006/main" count="130" uniqueCount="58">
  <si>
    <t>Смета расходов ТСЖ "ПРОСТОР" по эксплуатации,</t>
  </si>
  <si>
    <t>№</t>
  </si>
  <si>
    <t>Наименование расходов</t>
  </si>
  <si>
    <t>Сумма в месяц, руб.</t>
  </si>
  <si>
    <t>Сумма за год, руб.</t>
  </si>
  <si>
    <t>Налоговые и иные обязательные платежи с ФОТ</t>
  </si>
  <si>
    <t>Обязательное обучение обслуживающего персонала, повышение квалификации</t>
  </si>
  <si>
    <t>Прочие (непредвиденные расходы)</t>
  </si>
  <si>
    <t>ИТОГО:</t>
  </si>
  <si>
    <t>Общая площадь квартир жилого дома по адресу: ул. Чехова, 346 составляет</t>
  </si>
  <si>
    <t>кв.м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</si>
  <si>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</si>
  <si>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</si>
  <si>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</si>
  <si>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</si>
  <si>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</si>
  <si>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</si>
  <si>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</si>
  <si>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</si>
  <si>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</si>
  <si>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</si>
  <si>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</si>
  <si>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</si>
  <si>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</si>
  <si>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расход за год, руб.</t>
  </si>
  <si>
    <t>Общий остаток за год, руб.</t>
  </si>
  <si>
    <t>Тариф за 1 кв.м в месяц</t>
  </si>
  <si>
    <t>Страхование лифтового оборудования</t>
  </si>
  <si>
    <t>Плановые накопления на капитальный ремонт лифтов</t>
  </si>
  <si>
    <t>тариф на содержание лифтового хозяйства МКД за 1 кв.м общей площади в месяц:</t>
  </si>
  <si>
    <t>Общая площадь квартир 1-ых этажей жилого дома составляет</t>
  </si>
  <si>
    <t>Общая площадь квартир 2-10 этажей жилого дома составляет</t>
  </si>
  <si>
    <t>для квартир 1-ых этажей жилого дома -</t>
  </si>
  <si>
    <t>для квартир 2-10 этажей жилого дома -</t>
  </si>
  <si>
    <t>Вывоз ТБО (по договору)</t>
  </si>
  <si>
    <t>Вывоз негабаритного, строительного мусора</t>
  </si>
  <si>
    <t>тариф на сбор и вывоз ТБО за 1 кв.м общей площади в месяц:</t>
  </si>
  <si>
    <t>Ремонт лифтового оборудования плановый (ППР):</t>
  </si>
  <si>
    <t>Обслуживание контейнерной площадки</t>
  </si>
  <si>
    <t>Модернизация диспетчерского пульта</t>
  </si>
  <si>
    <t>Техническое обслуживание (по договору):</t>
  </si>
  <si>
    <t>Приобретение материалов и запчастей, текущий ремонт:</t>
  </si>
  <si>
    <t>техническому содержанию и ремонту лифтового хозяйства многоквартирного дома на 2013г.</t>
  </si>
  <si>
    <t>Смета расходов ТСЖ "ПРОСТОР" по сбору и вывозу ТБО на 2013г.</t>
  </si>
  <si>
    <t>На основании сметы расходов на 2013 г. Правление ТСЖ предлагает утвердить</t>
  </si>
  <si>
    <t xml:space="preserve">Услуги связи </t>
  </si>
  <si>
    <t>Фонд оплаты труда с начислениями обслуживающему персоналу</t>
  </si>
  <si>
    <t>Утверждено:                             Решением общего собрания членов ТСЖ "ПРОСТОР"                                    от 02-03 февраля 2013г.</t>
  </si>
  <si>
    <t>Техническое освидетельствование лифтов</t>
  </si>
  <si>
    <t>в январе 2015г. за декабрь 2014г.</t>
  </si>
  <si>
    <t>тариф на содержание лифтового хозяйства МКД за 1 кв. м общей площади в месяц:</t>
  </si>
  <si>
    <t>тариф на сбор и вывоз ТБО за 1 кв. м общей площади в месяц:</t>
  </si>
  <si>
    <t>техническому содержанию и ремонту лифтового хозяйства многоквартирного дома на 2015 г.</t>
  </si>
  <si>
    <t>На основании сметы расходов на 2015 г. Правление ТСЖ предлагает утвердить</t>
  </si>
  <si>
    <t>Смета расходов ТСЖ "ПРОСТОР" по сбору и вывозу ТБО на 2015 г.</t>
  </si>
  <si>
    <t>в январе 2016г. за декабрь 2015г.</t>
  </si>
  <si>
    <t>Сумма расходов по месяцам 2015 года, руб.</t>
  </si>
  <si>
    <t>Обязательное обучение обслуживающего персонала</t>
  </si>
</sst>
</file>

<file path=xl/styles.xml><?xml version="1.0" encoding="utf-8"?>
<styleSheet xmlns="http://schemas.openxmlformats.org/spreadsheetml/2006/main">
  <fonts count="9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/>
    <xf numFmtId="1" fontId="4" fillId="0" borderId="3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1" fontId="4" fillId="0" borderId="5" xfId="0" applyNumberFormat="1" applyFont="1" applyBorder="1"/>
    <xf numFmtId="1" fontId="4" fillId="3" borderId="6" xfId="0" applyNumberFormat="1" applyFont="1" applyFill="1" applyBorder="1"/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/>
    <xf numFmtId="1" fontId="4" fillId="0" borderId="14" xfId="0" applyNumberFormat="1" applyFont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0" borderId="9" xfId="0" applyFont="1" applyBorder="1"/>
    <xf numFmtId="0" fontId="4" fillId="4" borderId="5" xfId="0" applyFont="1" applyFill="1" applyBorder="1" applyAlignment="1">
      <alignment horizontal="center" vertical="justify"/>
    </xf>
    <xf numFmtId="0" fontId="1" fillId="0" borderId="17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2" fillId="2" borderId="18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0" fontId="4" fillId="0" borderId="9" xfId="0" applyFont="1" applyFill="1" applyBorder="1"/>
    <xf numFmtId="0" fontId="4" fillId="0" borderId="5" xfId="0" applyFont="1" applyFill="1" applyBorder="1"/>
    <xf numFmtId="0" fontId="1" fillId="0" borderId="13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2" xfId="0" applyFont="1" applyFill="1" applyBorder="1"/>
    <xf numFmtId="1" fontId="4" fillId="0" borderId="19" xfId="0" applyNumberFormat="1" applyFont="1" applyBorder="1"/>
    <xf numFmtId="1" fontId="4" fillId="0" borderId="4" xfId="0" applyNumberFormat="1" applyFont="1" applyBorder="1"/>
    <xf numFmtId="0" fontId="3" fillId="0" borderId="12" xfId="0" applyFont="1" applyFill="1" applyBorder="1"/>
    <xf numFmtId="0" fontId="3" fillId="0" borderId="0" xfId="0" applyFont="1" applyFill="1" applyBorder="1"/>
    <xf numFmtId="1" fontId="4" fillId="0" borderId="9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Fill="1" applyBorder="1"/>
    <xf numFmtId="0" fontId="1" fillId="0" borderId="2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1" fontId="4" fillId="2" borderId="21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2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1" fillId="2" borderId="1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16" fontId="4" fillId="4" borderId="5" xfId="0" applyNumberFormat="1" applyFont="1" applyFill="1" applyBorder="1" applyAlignment="1">
      <alignment horizontal="center" vertical="center"/>
    </xf>
    <xf numFmtId="16" fontId="4" fillId="4" borderId="13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16" fontId="4" fillId="4" borderId="9" xfId="0" applyNumberFormat="1" applyFont="1" applyFill="1" applyBorder="1" applyAlignment="1">
      <alignment horizontal="center" vertical="center"/>
    </xf>
    <xf numFmtId="1" fontId="4" fillId="0" borderId="9" xfId="0" applyNumberFormat="1" applyFont="1" applyBorder="1"/>
    <xf numFmtId="0" fontId="4" fillId="4" borderId="23" xfId="0" applyFont="1" applyFill="1" applyBorder="1"/>
    <xf numFmtId="0" fontId="4" fillId="4" borderId="24" xfId="0" applyFont="1" applyFill="1" applyBorder="1"/>
    <xf numFmtId="0" fontId="4" fillId="4" borderId="5" xfId="0" applyFont="1" applyFill="1" applyBorder="1"/>
    <xf numFmtId="0" fontId="4" fillId="4" borderId="18" xfId="0" applyFont="1" applyFill="1" applyBorder="1"/>
    <xf numFmtId="1" fontId="4" fillId="3" borderId="18" xfId="0" applyNumberFormat="1" applyFont="1" applyFill="1" applyBorder="1"/>
    <xf numFmtId="1" fontId="4" fillId="3" borderId="5" xfId="0" applyNumberFormat="1" applyFont="1" applyFill="1" applyBorder="1"/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4" fillId="4" borderId="15" xfId="0" applyFont="1" applyFill="1" applyBorder="1"/>
    <xf numFmtId="2" fontId="4" fillId="0" borderId="14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2" borderId="2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6" fillId="0" borderId="5" xfId="0" applyFont="1" applyBorder="1"/>
    <xf numFmtId="0" fontId="4" fillId="0" borderId="5" xfId="0" applyFont="1" applyFill="1" applyBorder="1" applyAlignment="1">
      <alignment horizontal="center"/>
    </xf>
    <xf numFmtId="0" fontId="3" fillId="0" borderId="5" xfId="0" applyFont="1" applyFill="1" applyBorder="1"/>
    <xf numFmtId="0" fontId="3" fillId="0" borderId="9" xfId="0" applyFont="1" applyFill="1" applyBorder="1"/>
    <xf numFmtId="0" fontId="1" fillId="0" borderId="0" xfId="0" applyFont="1" applyFill="1" applyAlignment="1">
      <alignment horizont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49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0" fontId="5" fillId="0" borderId="12" xfId="0" applyFont="1" applyFill="1" applyBorder="1"/>
    <xf numFmtId="0" fontId="5" fillId="0" borderId="5" xfId="0" applyFont="1" applyFill="1" applyBorder="1"/>
    <xf numFmtId="0" fontId="1" fillId="0" borderId="13" xfId="0" applyFont="1" applyFill="1" applyBorder="1" applyAlignment="1">
      <alignment horizontal="center" vertical="center"/>
    </xf>
    <xf numFmtId="1" fontId="4" fillId="0" borderId="31" xfId="0" applyNumberFormat="1" applyFont="1" applyBorder="1"/>
    <xf numFmtId="1" fontId="4" fillId="0" borderId="5" xfId="0" applyNumberFormat="1" applyFont="1" applyFill="1" applyBorder="1"/>
    <xf numFmtId="1" fontId="4" fillId="0" borderId="4" xfId="0" applyNumberFormat="1" applyFont="1" applyFill="1" applyBorder="1"/>
    <xf numFmtId="0" fontId="4" fillId="0" borderId="0" xfId="0" applyFont="1"/>
    <xf numFmtId="0" fontId="4" fillId="0" borderId="12" xfId="0" applyFont="1" applyBorder="1"/>
    <xf numFmtId="0" fontId="5" fillId="0" borderId="0" xfId="0" applyFont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3" borderId="4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0" fillId="0" borderId="0" xfId="0" applyAlignment="1">
      <alignment horizontal="center" vertical="justify"/>
    </xf>
    <xf numFmtId="0" fontId="2" fillId="2" borderId="26" xfId="0" applyFont="1" applyFill="1" applyBorder="1" applyAlignment="1">
      <alignment horizontal="center"/>
    </xf>
    <xf numFmtId="0" fontId="5" fillId="0" borderId="13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zoomScaleNormal="100" workbookViewId="0">
      <selection activeCell="H41" sqref="H41"/>
    </sheetView>
  </sheetViews>
  <sheetFormatPr defaultRowHeight="12.75"/>
  <cols>
    <col min="1" max="1" width="3" bestFit="1" customWidth="1"/>
    <col min="2" max="2" width="65.140625" bestFit="1" customWidth="1"/>
    <col min="3" max="3" width="9" customWidth="1"/>
    <col min="4" max="4" width="8.7109375" customWidth="1"/>
    <col min="5" max="5" width="8.140625" customWidth="1"/>
    <col min="6" max="6" width="9.7109375" customWidth="1"/>
    <col min="7" max="7" width="7.85546875" bestFit="1" customWidth="1"/>
    <col min="9" max="9" width="6" bestFit="1" customWidth="1"/>
    <col min="10" max="10" width="7.85546875" bestFit="1" customWidth="1"/>
    <col min="11" max="13" width="6" bestFit="1" customWidth="1"/>
    <col min="14" max="14" width="6.85546875" bestFit="1" customWidth="1"/>
    <col min="15" max="15" width="9.7109375" bestFit="1" customWidth="1"/>
    <col min="16" max="16" width="8.5703125" bestFit="1" customWidth="1"/>
    <col min="17" max="17" width="7.85546875" bestFit="1" customWidth="1"/>
    <col min="18" max="18" width="8.85546875" bestFit="1" customWidth="1"/>
    <col min="19" max="19" width="9.85546875" customWidth="1"/>
    <col min="20" max="21" width="9.5703125" customWidth="1"/>
  </cols>
  <sheetData>
    <row r="1" spans="1:21">
      <c r="A1" s="124" t="s">
        <v>0</v>
      </c>
      <c r="B1" s="124"/>
      <c r="C1" s="124"/>
      <c r="D1" s="124"/>
      <c r="E1" s="124"/>
      <c r="F1" s="28"/>
    </row>
    <row r="2" spans="1:21" ht="13.5" thickBot="1">
      <c r="A2" s="124" t="s">
        <v>52</v>
      </c>
      <c r="B2" s="124"/>
      <c r="C2" s="124"/>
      <c r="D2" s="124"/>
      <c r="E2" s="124"/>
      <c r="F2" s="28"/>
    </row>
    <row r="3" spans="1:21" ht="13.5" thickBot="1">
      <c r="A3" s="121"/>
      <c r="B3" s="121"/>
      <c r="C3" s="121"/>
      <c r="D3" s="121"/>
      <c r="E3" s="121"/>
      <c r="F3" s="29"/>
      <c r="G3" s="116" t="s">
        <v>56</v>
      </c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26"/>
      <c r="S3" s="31"/>
      <c r="T3" s="119" t="s">
        <v>24</v>
      </c>
      <c r="U3" s="119" t="s">
        <v>25</v>
      </c>
    </row>
    <row r="4" spans="1:21" ht="53.45" customHeight="1" thickBot="1">
      <c r="A4" s="63" t="s">
        <v>1</v>
      </c>
      <c r="B4" s="105" t="s">
        <v>2</v>
      </c>
      <c r="C4" s="77" t="s">
        <v>26</v>
      </c>
      <c r="D4" s="62" t="s">
        <v>3</v>
      </c>
      <c r="E4" s="7" t="s">
        <v>4</v>
      </c>
      <c r="F4" s="33" t="s">
        <v>49</v>
      </c>
      <c r="G4" s="65" t="s">
        <v>12</v>
      </c>
      <c r="H4" s="64" t="s">
        <v>13</v>
      </c>
      <c r="I4" s="65" t="s">
        <v>14</v>
      </c>
      <c r="J4" s="64" t="s">
        <v>15</v>
      </c>
      <c r="K4" s="65" t="s">
        <v>16</v>
      </c>
      <c r="L4" s="64" t="s">
        <v>17</v>
      </c>
      <c r="M4" s="65" t="s">
        <v>18</v>
      </c>
      <c r="N4" s="64" t="s">
        <v>19</v>
      </c>
      <c r="O4" s="65" t="s">
        <v>20</v>
      </c>
      <c r="P4" s="64" t="s">
        <v>21</v>
      </c>
      <c r="Q4" s="65" t="s">
        <v>22</v>
      </c>
      <c r="R4" s="64" t="s">
        <v>23</v>
      </c>
      <c r="S4" s="33" t="s">
        <v>55</v>
      </c>
      <c r="T4" s="120"/>
      <c r="U4" s="120"/>
    </row>
    <row r="5" spans="1:21" ht="13.5" thickBot="1">
      <c r="A5" s="99">
        <v>1</v>
      </c>
      <c r="B5" s="96" t="s">
        <v>46</v>
      </c>
      <c r="C5" s="79">
        <f>D5/D19</f>
        <v>1.5022889727732711</v>
      </c>
      <c r="D5" s="35">
        <f t="shared" ref="D5:D16" si="0">E5/12</f>
        <v>37410</v>
      </c>
      <c r="E5" s="39">
        <v>448920</v>
      </c>
      <c r="F5" s="43"/>
      <c r="G5" s="39">
        <f>14174+17437+3263</f>
        <v>34874</v>
      </c>
      <c r="H5" s="42">
        <f>16961+3914</f>
        <v>20875</v>
      </c>
      <c r="I5" s="43">
        <f>18306+18738</f>
        <v>37044</v>
      </c>
      <c r="J5" s="42">
        <f>18522+18705+18705</f>
        <v>55932</v>
      </c>
      <c r="K5" s="43">
        <f>21438</f>
        <v>21438</v>
      </c>
      <c r="L5" s="42">
        <f>18705+8193+15225</f>
        <v>42123</v>
      </c>
      <c r="M5" s="43">
        <f>15225+13920+17400+1305+2088</f>
        <v>49938</v>
      </c>
      <c r="N5" s="42">
        <f>14348+10440+10440+1305+1958</f>
        <v>38491</v>
      </c>
      <c r="O5" s="43">
        <f>17400+696+1305</f>
        <v>19401</v>
      </c>
      <c r="P5" s="42">
        <f>17400+17400+13920+1305+1305+1305</f>
        <v>52635</v>
      </c>
      <c r="Q5" s="43">
        <f>13920+1305+1305</f>
        <v>16530</v>
      </c>
      <c r="R5" s="42">
        <f>13920+10440+10440+1305+3915+1305+3480+3480</f>
        <v>48285</v>
      </c>
      <c r="S5" s="43"/>
      <c r="T5" s="27">
        <f>SUM(G5:S5)</f>
        <v>437566</v>
      </c>
      <c r="U5" s="9">
        <f t="shared" ref="U5:U15" si="1">E5-T5</f>
        <v>11354</v>
      </c>
    </row>
    <row r="6" spans="1:21" ht="13.5" thickBot="1">
      <c r="A6" s="99">
        <v>2</v>
      </c>
      <c r="B6" s="86" t="s">
        <v>5</v>
      </c>
      <c r="C6" s="80">
        <f>D6/D19</f>
        <v>0.57328728616175406</v>
      </c>
      <c r="D6" s="36">
        <f t="shared" si="0"/>
        <v>14276</v>
      </c>
      <c r="E6" s="45">
        <v>171312</v>
      </c>
      <c r="F6" s="107">
        <v>5648</v>
      </c>
      <c r="G6" s="114">
        <f>2034+2633</f>
        <v>4667</v>
      </c>
      <c r="H6" s="46">
        <f>2220+7128</f>
        <v>9348</v>
      </c>
      <c r="I6" s="47">
        <f>3358+86+6979+2219</f>
        <v>12642</v>
      </c>
      <c r="J6" s="46">
        <f>2220+86+2200+6979+2220</f>
        <v>13705</v>
      </c>
      <c r="K6" s="47">
        <f>70+2628+6979</f>
        <v>9677</v>
      </c>
      <c r="L6" s="46">
        <v>16572</v>
      </c>
      <c r="M6" s="47">
        <f>2528+70+6979+2275+2275</f>
        <v>14127</v>
      </c>
      <c r="N6" s="46">
        <v>12040</v>
      </c>
      <c r="O6" s="47">
        <f>61+2115+6386</f>
        <v>8562</v>
      </c>
      <c r="P6" s="46">
        <f>3450+2115+6453+2080</f>
        <v>14098</v>
      </c>
      <c r="Q6" s="47">
        <v>10395</v>
      </c>
      <c r="R6" s="46">
        <f>2080+1979+12906+122+2470</f>
        <v>19557</v>
      </c>
      <c r="S6" s="47">
        <v>19628</v>
      </c>
      <c r="T6" s="48">
        <f>SUM(G6:S6)</f>
        <v>165018</v>
      </c>
      <c r="U6" s="112">
        <f t="shared" si="1"/>
        <v>6294</v>
      </c>
    </row>
    <row r="7" spans="1:21" ht="13.5" thickBot="1">
      <c r="A7" s="100">
        <v>3</v>
      </c>
      <c r="B7" s="96" t="s">
        <v>57</v>
      </c>
      <c r="C7" s="79">
        <f>D7/D19</f>
        <v>1.5059031403100153E-2</v>
      </c>
      <c r="D7" s="35">
        <f t="shared" si="0"/>
        <v>375</v>
      </c>
      <c r="E7" s="39">
        <v>4500</v>
      </c>
      <c r="F7" s="108"/>
      <c r="G7" s="43"/>
      <c r="H7" s="42"/>
      <c r="I7" s="43"/>
      <c r="J7" s="42"/>
      <c r="K7" s="43"/>
      <c r="L7" s="42">
        <v>4500</v>
      </c>
      <c r="M7" s="43"/>
      <c r="N7" s="42"/>
      <c r="O7" s="43"/>
      <c r="P7" s="42"/>
      <c r="Q7" s="43"/>
      <c r="R7" s="42"/>
      <c r="S7" s="43"/>
      <c r="T7" s="27">
        <f>SUM(G7:S7)</f>
        <v>4500</v>
      </c>
      <c r="U7" s="9">
        <f t="shared" si="1"/>
        <v>0</v>
      </c>
    </row>
    <row r="8" spans="1:21" s="5" customFormat="1" ht="13.5" thickBot="1">
      <c r="A8" s="101">
        <v>4</v>
      </c>
      <c r="B8" s="96" t="s">
        <v>27</v>
      </c>
      <c r="C8" s="79">
        <f>D8/D19</f>
        <v>3.5472385082858139E-2</v>
      </c>
      <c r="D8" s="35">
        <f t="shared" si="0"/>
        <v>883.33333333333337</v>
      </c>
      <c r="E8" s="91">
        <v>10600</v>
      </c>
      <c r="F8" s="107">
        <v>10600</v>
      </c>
      <c r="G8" s="92"/>
      <c r="H8" s="42"/>
      <c r="I8" s="92"/>
      <c r="J8" s="93"/>
      <c r="K8" s="92"/>
      <c r="L8" s="93"/>
      <c r="M8" s="92"/>
      <c r="N8" s="93"/>
      <c r="O8" s="92"/>
      <c r="P8" s="93"/>
      <c r="Q8" s="92"/>
      <c r="R8" s="93"/>
      <c r="S8" s="43">
        <v>3600</v>
      </c>
      <c r="T8" s="27">
        <f t="shared" ref="T8:T16" si="2">SUM(G8:S8)</f>
        <v>3600</v>
      </c>
      <c r="U8" s="9">
        <f t="shared" si="1"/>
        <v>7000</v>
      </c>
    </row>
    <row r="9" spans="1:21" s="5" customFormat="1" ht="13.5" thickBot="1">
      <c r="A9" s="95">
        <v>5</v>
      </c>
      <c r="B9" s="86" t="s">
        <v>48</v>
      </c>
      <c r="C9" s="80">
        <f>D9/D19</f>
        <v>0.10039354268733434</v>
      </c>
      <c r="D9" s="36">
        <f t="shared" si="0"/>
        <v>2500</v>
      </c>
      <c r="E9" s="40">
        <v>30000</v>
      </c>
      <c r="F9" s="108"/>
      <c r="G9" s="50"/>
      <c r="H9" s="46">
        <v>30000</v>
      </c>
      <c r="I9" s="50"/>
      <c r="J9" s="51"/>
      <c r="K9" s="50"/>
      <c r="L9" s="51"/>
      <c r="M9" s="50"/>
      <c r="N9" s="51"/>
      <c r="O9" s="50"/>
      <c r="P9" s="51"/>
      <c r="Q9" s="50"/>
      <c r="R9" s="51"/>
      <c r="S9" s="47"/>
      <c r="T9" s="110">
        <f>SUM(G9:S9)</f>
        <v>30000</v>
      </c>
      <c r="U9" s="49">
        <f t="shared" si="1"/>
        <v>0</v>
      </c>
    </row>
    <row r="10" spans="1:21" ht="13.5" thickBot="1">
      <c r="A10" s="102">
        <v>6</v>
      </c>
      <c r="B10" s="97" t="s">
        <v>40</v>
      </c>
      <c r="C10" s="81">
        <f>D10/D19</f>
        <v>1.2003855112039195</v>
      </c>
      <c r="D10" s="52">
        <f t="shared" si="0"/>
        <v>29892</v>
      </c>
      <c r="E10" s="53">
        <v>358704</v>
      </c>
      <c r="F10" s="108">
        <v>29892</v>
      </c>
      <c r="G10" s="109"/>
      <c r="H10" s="43">
        <v>29892</v>
      </c>
      <c r="I10" s="43">
        <v>29892</v>
      </c>
      <c r="J10" s="43">
        <v>29892</v>
      </c>
      <c r="K10" s="43">
        <v>29892</v>
      </c>
      <c r="L10" s="43">
        <v>29892</v>
      </c>
      <c r="M10" s="43">
        <v>29892</v>
      </c>
      <c r="N10" s="43">
        <v>29892</v>
      </c>
      <c r="O10" s="43">
        <v>29892</v>
      </c>
      <c r="P10" s="43">
        <v>29892</v>
      </c>
      <c r="Q10" s="43"/>
      <c r="R10" s="43">
        <f>29892+30000</f>
        <v>59892</v>
      </c>
      <c r="S10" s="43">
        <v>30000</v>
      </c>
      <c r="T10" s="9">
        <f>SUM(G10:S10)</f>
        <v>358920</v>
      </c>
      <c r="U10" s="27">
        <f t="shared" si="1"/>
        <v>-216</v>
      </c>
    </row>
    <row r="11" spans="1:21" ht="13.5" thickBot="1">
      <c r="A11" s="102">
        <v>7</v>
      </c>
      <c r="B11" s="86" t="s">
        <v>41</v>
      </c>
      <c r="C11" s="80">
        <f>D11/D19</f>
        <v>8.3661285572778632E-2</v>
      </c>
      <c r="D11" s="36">
        <f t="shared" si="0"/>
        <v>2083.3333333333335</v>
      </c>
      <c r="E11" s="45">
        <v>25000</v>
      </c>
      <c r="F11" s="107">
        <v>3785.6</v>
      </c>
      <c r="G11" s="47"/>
      <c r="H11" s="46"/>
      <c r="I11" s="47"/>
      <c r="J11" s="46">
        <v>9132</v>
      </c>
      <c r="K11" s="47"/>
      <c r="L11" s="46"/>
      <c r="M11" s="47"/>
      <c r="N11" s="46"/>
      <c r="O11" s="47"/>
      <c r="P11" s="46">
        <v>3785.6</v>
      </c>
      <c r="Q11" s="47"/>
      <c r="R11" s="46"/>
      <c r="S11" s="47"/>
      <c r="T11" s="48">
        <f>SUM(G11:S11)</f>
        <v>12917.6</v>
      </c>
      <c r="U11" s="26">
        <f t="shared" si="1"/>
        <v>12082.4</v>
      </c>
    </row>
    <row r="12" spans="1:21" ht="13.5" thickBot="1">
      <c r="A12" s="102">
        <v>8</v>
      </c>
      <c r="B12" s="96" t="s">
        <v>37</v>
      </c>
      <c r="C12" s="79">
        <f>D12/D19</f>
        <v>8.0314834149867481E-2</v>
      </c>
      <c r="D12" s="35">
        <f t="shared" si="0"/>
        <v>2000</v>
      </c>
      <c r="E12" s="39">
        <v>24000</v>
      </c>
      <c r="F12" s="108"/>
      <c r="G12" s="54"/>
      <c r="H12" s="42"/>
      <c r="I12" s="43"/>
      <c r="J12" s="42"/>
      <c r="K12" s="43"/>
      <c r="L12" s="42"/>
      <c r="M12" s="43"/>
      <c r="N12" s="42"/>
      <c r="O12" s="43">
        <f>14130+2120</f>
        <v>16250</v>
      </c>
      <c r="P12" s="42"/>
      <c r="Q12" s="43"/>
      <c r="R12" s="42">
        <v>10047</v>
      </c>
      <c r="S12" s="43"/>
      <c r="T12" s="27">
        <f t="shared" si="2"/>
        <v>26297</v>
      </c>
      <c r="U12" s="9">
        <f t="shared" si="1"/>
        <v>-2297</v>
      </c>
    </row>
    <row r="13" spans="1:21" ht="13.5" thickBot="1">
      <c r="A13" s="103">
        <v>9</v>
      </c>
      <c r="B13" s="86" t="s">
        <v>39</v>
      </c>
      <c r="C13" s="82">
        <f>D13/D19</f>
        <v>0</v>
      </c>
      <c r="D13" s="36">
        <f t="shared" si="0"/>
        <v>0</v>
      </c>
      <c r="E13" s="45">
        <v>0</v>
      </c>
      <c r="F13" s="107"/>
      <c r="G13" s="47"/>
      <c r="H13" s="46"/>
      <c r="I13" s="47"/>
      <c r="J13" s="46"/>
      <c r="K13" s="47"/>
      <c r="L13" s="46"/>
      <c r="M13" s="47"/>
      <c r="N13" s="46"/>
      <c r="O13" s="47"/>
      <c r="P13" s="46"/>
      <c r="Q13" s="47"/>
      <c r="R13" s="46"/>
      <c r="S13" s="47"/>
      <c r="T13" s="48">
        <f t="shared" si="2"/>
        <v>0</v>
      </c>
      <c r="U13" s="26">
        <f t="shared" si="1"/>
        <v>0</v>
      </c>
    </row>
    <row r="14" spans="1:21" ht="13.5" thickBot="1">
      <c r="A14" s="100">
        <v>10</v>
      </c>
      <c r="B14" s="98" t="s">
        <v>28</v>
      </c>
      <c r="C14" s="83">
        <f>D14/D19</f>
        <v>0</v>
      </c>
      <c r="D14" s="35">
        <f t="shared" si="0"/>
        <v>0</v>
      </c>
      <c r="E14" s="8">
        <v>0</v>
      </c>
      <c r="F14" s="108"/>
      <c r="G14" s="43"/>
      <c r="H14" s="42"/>
      <c r="I14" s="43"/>
      <c r="J14" s="42"/>
      <c r="K14" s="43"/>
      <c r="L14" s="42"/>
      <c r="M14" s="43"/>
      <c r="N14" s="42"/>
      <c r="O14" s="43"/>
      <c r="P14" s="42"/>
      <c r="Q14" s="43"/>
      <c r="R14" s="42"/>
      <c r="S14" s="43"/>
      <c r="T14" s="27">
        <f t="shared" si="2"/>
        <v>0</v>
      </c>
      <c r="U14" s="9">
        <f t="shared" si="1"/>
        <v>0</v>
      </c>
    </row>
    <row r="15" spans="1:21" ht="13.5" thickBot="1">
      <c r="A15" s="100">
        <v>11</v>
      </c>
      <c r="B15" s="89" t="s">
        <v>45</v>
      </c>
      <c r="C15" s="80">
        <f>D15/D19</f>
        <v>1.0039354268733435E-2</v>
      </c>
      <c r="D15" s="36">
        <f t="shared" si="0"/>
        <v>250</v>
      </c>
      <c r="E15" s="56">
        <v>3000</v>
      </c>
      <c r="F15" s="107">
        <v>250</v>
      </c>
      <c r="G15" s="47"/>
      <c r="H15" s="46">
        <v>250</v>
      </c>
      <c r="I15" s="47"/>
      <c r="J15" s="46"/>
      <c r="K15" s="47">
        <v>250</v>
      </c>
      <c r="L15" s="46">
        <v>250</v>
      </c>
      <c r="M15" s="47">
        <v>500</v>
      </c>
      <c r="N15" s="46">
        <v>250</v>
      </c>
      <c r="O15" s="47">
        <v>250</v>
      </c>
      <c r="P15" s="46">
        <v>250</v>
      </c>
      <c r="Q15" s="47">
        <v>250</v>
      </c>
      <c r="R15" s="46">
        <v>250</v>
      </c>
      <c r="S15" s="47">
        <v>250</v>
      </c>
      <c r="T15" s="48">
        <f>SUM(G15:S15)</f>
        <v>2750</v>
      </c>
      <c r="U15" s="111">
        <f t="shared" si="1"/>
        <v>250</v>
      </c>
    </row>
    <row r="16" spans="1:21" ht="13.5" thickBot="1">
      <c r="A16" s="104">
        <v>12</v>
      </c>
      <c r="B16" s="96" t="s">
        <v>7</v>
      </c>
      <c r="C16" s="79">
        <f>D16/D19</f>
        <v>1.0039354268733435E-2</v>
      </c>
      <c r="D16" s="35">
        <f t="shared" si="0"/>
        <v>250</v>
      </c>
      <c r="E16" s="8">
        <v>3000</v>
      </c>
      <c r="F16" s="43"/>
      <c r="G16" s="43"/>
      <c r="H16" s="42"/>
      <c r="I16" s="43"/>
      <c r="J16" s="42"/>
      <c r="K16" s="43"/>
      <c r="L16" s="42"/>
      <c r="M16" s="43"/>
      <c r="N16" s="42"/>
      <c r="O16" s="43">
        <v>19980</v>
      </c>
      <c r="P16" s="42">
        <v>2754</v>
      </c>
      <c r="Q16" s="43"/>
      <c r="R16" s="42"/>
      <c r="S16" s="43"/>
      <c r="T16" s="27">
        <f t="shared" si="2"/>
        <v>22734</v>
      </c>
      <c r="U16" s="9">
        <f>E16-T16</f>
        <v>-19734</v>
      </c>
    </row>
    <row r="17" spans="1:21" ht="13.5" thickBot="1">
      <c r="A17" s="122" t="s">
        <v>8</v>
      </c>
      <c r="B17" s="125"/>
      <c r="C17" s="37">
        <f t="shared" ref="C17:I17" si="3">SUM(C5:C16)</f>
        <v>3.6109415575723496</v>
      </c>
      <c r="D17" s="57">
        <f t="shared" si="3"/>
        <v>89919.666666666672</v>
      </c>
      <c r="E17" s="38">
        <v>1080276</v>
      </c>
      <c r="F17" s="30">
        <f>SUM(F5:F16)</f>
        <v>50175.6</v>
      </c>
      <c r="G17" s="78">
        <f>SUM(G5:G16)</f>
        <v>39541</v>
      </c>
      <c r="H17" s="72">
        <f t="shared" si="3"/>
        <v>90365</v>
      </c>
      <c r="I17" s="73">
        <f t="shared" si="3"/>
        <v>79578</v>
      </c>
      <c r="J17" s="72">
        <f t="shared" ref="J17:S17" si="4">SUM(J5:J16)</f>
        <v>108661</v>
      </c>
      <c r="K17" s="73">
        <f t="shared" si="4"/>
        <v>61257</v>
      </c>
      <c r="L17" s="72">
        <f t="shared" si="4"/>
        <v>93337</v>
      </c>
      <c r="M17" s="73">
        <f t="shared" si="4"/>
        <v>94457</v>
      </c>
      <c r="N17" s="72">
        <f t="shared" si="4"/>
        <v>80673</v>
      </c>
      <c r="O17" s="73">
        <f t="shared" si="4"/>
        <v>94335</v>
      </c>
      <c r="P17" s="72">
        <f t="shared" si="4"/>
        <v>103414.6</v>
      </c>
      <c r="Q17" s="73">
        <f t="shared" si="4"/>
        <v>27175</v>
      </c>
      <c r="R17" s="72">
        <f t="shared" si="4"/>
        <v>138031</v>
      </c>
      <c r="S17" s="71">
        <f t="shared" si="4"/>
        <v>53478</v>
      </c>
      <c r="T17" s="10">
        <f>SUM(G17:S17)</f>
        <v>1064302.6000000001</v>
      </c>
      <c r="U17" s="10">
        <f>E17-T17</f>
        <v>15973.399999999907</v>
      </c>
    </row>
    <row r="18" spans="1:21" s="5" customFormat="1" ht="12.6" customHeight="1"/>
    <row r="19" spans="1:21">
      <c r="A19" s="115" t="s">
        <v>9</v>
      </c>
      <c r="B19" s="115"/>
      <c r="C19" s="15"/>
      <c r="D19" s="94">
        <v>24902</v>
      </c>
      <c r="E19" s="2" t="s">
        <v>10</v>
      </c>
      <c r="F19" s="2"/>
    </row>
    <row r="20" spans="1:21">
      <c r="A20" s="15"/>
      <c r="B20" s="15"/>
      <c r="C20" s="15"/>
      <c r="D20" s="1"/>
      <c r="E20" s="2"/>
      <c r="F20" s="2"/>
    </row>
    <row r="21" spans="1:21">
      <c r="A21" s="115" t="s">
        <v>30</v>
      </c>
      <c r="B21" s="115"/>
      <c r="C21" s="15"/>
      <c r="D21" s="18">
        <v>2424</v>
      </c>
      <c r="E21" s="19" t="s">
        <v>10</v>
      </c>
      <c r="F21" s="19"/>
    </row>
    <row r="22" spans="1:21">
      <c r="A22" s="115" t="s">
        <v>31</v>
      </c>
      <c r="B22" s="115"/>
      <c r="C22" s="15"/>
      <c r="D22" s="18">
        <f>D19-D21</f>
        <v>22478</v>
      </c>
      <c r="E22" s="19" t="s">
        <v>10</v>
      </c>
      <c r="F22" s="19"/>
    </row>
    <row r="23" spans="1:21" s="5" customFormat="1" ht="11.25"/>
    <row r="24" spans="1:21">
      <c r="A24" s="118" t="s">
        <v>53</v>
      </c>
      <c r="B24" s="118"/>
      <c r="C24" s="14"/>
    </row>
    <row r="25" spans="1:21">
      <c r="A25" s="118" t="s">
        <v>50</v>
      </c>
      <c r="B25" s="118"/>
      <c r="C25" s="14"/>
      <c r="D25" s="22">
        <f>D17/D19</f>
        <v>3.6109415575723505</v>
      </c>
      <c r="E25" s="19" t="s">
        <v>11</v>
      </c>
      <c r="F25" s="19"/>
    </row>
    <row r="26" spans="1:21">
      <c r="B26" s="21" t="s">
        <v>32</v>
      </c>
      <c r="C26" s="20"/>
      <c r="D26" s="23">
        <f>D17/(D21+2*D22)</f>
        <v>1.8978401575911075</v>
      </c>
      <c r="E26" s="2" t="s">
        <v>11</v>
      </c>
      <c r="F26" s="2"/>
    </row>
    <row r="27" spans="1:21">
      <c r="B27" s="21" t="s">
        <v>33</v>
      </c>
      <c r="C27" s="21"/>
      <c r="D27" s="23">
        <f>2*D26</f>
        <v>3.7956803151822149</v>
      </c>
      <c r="E27" s="2" t="s">
        <v>11</v>
      </c>
      <c r="F27" s="2"/>
    </row>
    <row r="31" spans="1:21" ht="13.5" thickBot="1">
      <c r="A31" s="124" t="s">
        <v>54</v>
      </c>
      <c r="B31" s="124"/>
      <c r="C31" s="124"/>
      <c r="D31" s="124"/>
      <c r="E31" s="124"/>
      <c r="F31" s="28"/>
    </row>
    <row r="32" spans="1:21" ht="13.5" thickBot="1">
      <c r="A32" s="121"/>
      <c r="B32" s="121"/>
      <c r="C32" s="121"/>
      <c r="D32" s="121"/>
      <c r="E32" s="121"/>
      <c r="F32" s="29"/>
      <c r="G32" s="116" t="s">
        <v>56</v>
      </c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31"/>
      <c r="T32" s="119" t="s">
        <v>24</v>
      </c>
      <c r="U32" s="119" t="s">
        <v>25</v>
      </c>
    </row>
    <row r="33" spans="1:21" ht="54" customHeight="1" thickBot="1">
      <c r="A33" s="7" t="s">
        <v>1</v>
      </c>
      <c r="B33" s="77" t="s">
        <v>2</v>
      </c>
      <c r="C33" s="76" t="s">
        <v>26</v>
      </c>
      <c r="D33" s="63" t="s">
        <v>3</v>
      </c>
      <c r="E33" s="77" t="s">
        <v>4</v>
      </c>
      <c r="F33" s="33" t="s">
        <v>49</v>
      </c>
      <c r="G33" s="66" t="s">
        <v>12</v>
      </c>
      <c r="H33" s="67" t="s">
        <v>13</v>
      </c>
      <c r="I33" s="68" t="s">
        <v>14</v>
      </c>
      <c r="J33" s="67" t="s">
        <v>15</v>
      </c>
      <c r="K33" s="68" t="s">
        <v>16</v>
      </c>
      <c r="L33" s="67" t="s">
        <v>17</v>
      </c>
      <c r="M33" s="68" t="s">
        <v>18</v>
      </c>
      <c r="N33" s="67" t="s">
        <v>19</v>
      </c>
      <c r="O33" s="68" t="s">
        <v>20</v>
      </c>
      <c r="P33" s="67" t="s">
        <v>21</v>
      </c>
      <c r="Q33" s="68" t="s">
        <v>22</v>
      </c>
      <c r="R33" s="67" t="s">
        <v>23</v>
      </c>
      <c r="S33" s="33" t="s">
        <v>55</v>
      </c>
      <c r="T33" s="120"/>
      <c r="U33" s="120"/>
    </row>
    <row r="34" spans="1:21" ht="13.5" thickBot="1">
      <c r="A34" s="100">
        <v>1</v>
      </c>
      <c r="B34" s="3" t="s">
        <v>34</v>
      </c>
      <c r="C34" s="16">
        <f>D34/D39</f>
        <v>1.0944570135746607</v>
      </c>
      <c r="D34" s="6">
        <f>E34/12</f>
        <v>27090</v>
      </c>
      <c r="E34" s="8">
        <v>325080</v>
      </c>
      <c r="F34" s="129">
        <v>27375</v>
      </c>
      <c r="G34" s="61"/>
      <c r="H34" s="61">
        <v>27090</v>
      </c>
      <c r="I34" s="61">
        <v>27090</v>
      </c>
      <c r="J34" s="61">
        <v>27090</v>
      </c>
      <c r="K34" s="61">
        <v>27090</v>
      </c>
      <c r="L34" s="61">
        <v>27090</v>
      </c>
      <c r="M34" s="61">
        <v>27090</v>
      </c>
      <c r="N34" s="61">
        <v>27090</v>
      </c>
      <c r="O34" s="61">
        <v>27090</v>
      </c>
      <c r="P34" s="61">
        <v>27090</v>
      </c>
      <c r="Q34" s="61">
        <v>27090</v>
      </c>
      <c r="R34" s="61">
        <v>27090</v>
      </c>
      <c r="S34" s="43">
        <v>27090</v>
      </c>
      <c r="T34" s="69">
        <f>SUM(G34:S34)</f>
        <v>325080</v>
      </c>
      <c r="U34" s="9">
        <f>E34-T34</f>
        <v>0</v>
      </c>
    </row>
    <row r="35" spans="1:21" ht="13.5" thickBot="1">
      <c r="A35" s="100">
        <v>2</v>
      </c>
      <c r="B35" s="3" t="s">
        <v>38</v>
      </c>
      <c r="C35" s="16">
        <f>D35/D39</f>
        <v>0.11393018745959922</v>
      </c>
      <c r="D35" s="6">
        <f>E35/12</f>
        <v>2820</v>
      </c>
      <c r="E35" s="8">
        <v>33840</v>
      </c>
      <c r="F35" s="129"/>
      <c r="G35" s="61"/>
      <c r="H35" s="113"/>
      <c r="I35" s="61"/>
      <c r="J35" s="32"/>
      <c r="K35" s="61"/>
      <c r="L35" s="32"/>
      <c r="M35" s="61"/>
      <c r="N35" s="32"/>
      <c r="O35" s="61"/>
      <c r="P35" s="32"/>
      <c r="Q35" s="61"/>
      <c r="R35" s="32"/>
      <c r="S35" s="61"/>
      <c r="T35" s="69">
        <f>SUM(G35:S35)</f>
        <v>0</v>
      </c>
      <c r="U35" s="9">
        <f>E35-T35</f>
        <v>33840</v>
      </c>
    </row>
    <row r="36" spans="1:21" ht="13.5" thickBot="1">
      <c r="A36" s="106">
        <v>3</v>
      </c>
      <c r="B36" s="3" t="s">
        <v>35</v>
      </c>
      <c r="C36" s="16">
        <f>D36/D39</f>
        <v>0.16160310277957338</v>
      </c>
      <c r="D36" s="6">
        <f>E36/12</f>
        <v>4000</v>
      </c>
      <c r="E36" s="60">
        <v>48000</v>
      </c>
      <c r="F36" s="129">
        <v>1500</v>
      </c>
      <c r="G36" s="90"/>
      <c r="H36" s="32">
        <v>3690</v>
      </c>
      <c r="I36" s="43"/>
      <c r="J36" s="32">
        <v>1800</v>
      </c>
      <c r="K36" s="61"/>
      <c r="L36" s="32">
        <v>1800</v>
      </c>
      <c r="M36" s="61">
        <v>1800</v>
      </c>
      <c r="N36" s="32"/>
      <c r="O36" s="61">
        <v>3600</v>
      </c>
      <c r="P36" s="32"/>
      <c r="Q36" s="61">
        <v>1800</v>
      </c>
      <c r="R36" s="32"/>
      <c r="S36" s="61"/>
      <c r="T36" s="69">
        <f>SUM(G36:S36)</f>
        <v>14490</v>
      </c>
      <c r="U36" s="9">
        <f>E36-T36</f>
        <v>33510</v>
      </c>
    </row>
    <row r="37" spans="1:21" ht="13.5" thickBot="1">
      <c r="A37" s="122" t="s">
        <v>8</v>
      </c>
      <c r="B37" s="123"/>
      <c r="C37" s="37">
        <f t="shared" ref="C37:S37" si="5">SUM(C34:C36)</f>
        <v>1.3699903038138335</v>
      </c>
      <c r="D37" s="57">
        <f t="shared" si="5"/>
        <v>33910</v>
      </c>
      <c r="E37" s="38">
        <v>406951</v>
      </c>
      <c r="F37" s="70">
        <f t="shared" si="5"/>
        <v>28875</v>
      </c>
      <c r="G37" s="72">
        <f t="shared" si="5"/>
        <v>0</v>
      </c>
      <c r="H37" s="73">
        <f t="shared" si="5"/>
        <v>30780</v>
      </c>
      <c r="I37" s="72">
        <f t="shared" si="5"/>
        <v>27090</v>
      </c>
      <c r="J37" s="73">
        <f t="shared" si="5"/>
        <v>28890</v>
      </c>
      <c r="K37" s="72">
        <f t="shared" si="5"/>
        <v>27090</v>
      </c>
      <c r="L37" s="73">
        <f t="shared" si="5"/>
        <v>28890</v>
      </c>
      <c r="M37" s="72">
        <f t="shared" si="5"/>
        <v>28890</v>
      </c>
      <c r="N37" s="73">
        <f t="shared" si="5"/>
        <v>27090</v>
      </c>
      <c r="O37" s="72">
        <f t="shared" si="5"/>
        <v>30690</v>
      </c>
      <c r="P37" s="73">
        <f t="shared" si="5"/>
        <v>27090</v>
      </c>
      <c r="Q37" s="72">
        <f t="shared" si="5"/>
        <v>28890</v>
      </c>
      <c r="R37" s="73">
        <f t="shared" si="5"/>
        <v>27090</v>
      </c>
      <c r="S37" s="72">
        <f t="shared" si="5"/>
        <v>27090</v>
      </c>
      <c r="T37" s="74">
        <f>SUM(T34:T36)</f>
        <v>339570</v>
      </c>
      <c r="U37" s="75">
        <f>E37-T37</f>
        <v>67381</v>
      </c>
    </row>
    <row r="38" spans="1:2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>
      <c r="A39" s="115" t="s">
        <v>9</v>
      </c>
      <c r="B39" s="115"/>
      <c r="C39" s="15"/>
      <c r="D39" s="94">
        <v>24752</v>
      </c>
      <c r="E39" s="2" t="s">
        <v>10</v>
      </c>
      <c r="F39" s="2"/>
      <c r="G39" s="2"/>
    </row>
    <row r="40" spans="1:21">
      <c r="A40" s="15"/>
      <c r="B40" s="15"/>
      <c r="C40" s="15"/>
      <c r="D40" s="1"/>
      <c r="E40" s="2"/>
      <c r="F40" s="2"/>
    </row>
    <row r="42" spans="1:21">
      <c r="A42" s="118" t="s">
        <v>53</v>
      </c>
      <c r="B42" s="118"/>
      <c r="C42" s="14"/>
    </row>
    <row r="43" spans="1:21">
      <c r="A43" s="118" t="s">
        <v>51</v>
      </c>
      <c r="B43" s="118"/>
      <c r="C43" s="14"/>
      <c r="D43" s="24">
        <f>D37/D39</f>
        <v>1.3699903038138332</v>
      </c>
      <c r="E43" s="2" t="s">
        <v>11</v>
      </c>
      <c r="F43" s="2"/>
    </row>
  </sheetData>
  <sheetProtection password="DC7D" sheet="1" objects="1" scenarios="1" selectLockedCells="1" selectUnlockedCells="1"/>
  <mergeCells count="21">
    <mergeCell ref="A24:B24"/>
    <mergeCell ref="A25:B25"/>
    <mergeCell ref="U32:U33"/>
    <mergeCell ref="A37:B37"/>
    <mergeCell ref="A1:E1"/>
    <mergeCell ref="A2:E2"/>
    <mergeCell ref="A3:E3"/>
    <mergeCell ref="A17:B17"/>
    <mergeCell ref="A31:E31"/>
    <mergeCell ref="U3:U4"/>
    <mergeCell ref="A19:B19"/>
    <mergeCell ref="A21:B21"/>
    <mergeCell ref="A22:B22"/>
    <mergeCell ref="G3:R3"/>
    <mergeCell ref="T3:T4"/>
    <mergeCell ref="A39:B39"/>
    <mergeCell ref="G32:R32"/>
    <mergeCell ref="A42:B42"/>
    <mergeCell ref="A43:B43"/>
    <mergeCell ref="T32:T33"/>
    <mergeCell ref="A32:E32"/>
  </mergeCells>
  <phoneticPr fontId="3" type="noConversion"/>
  <pageMargins left="0.19685039370078741" right="0.19685039370078741" top="0.78740157480314965" bottom="0.78740157480314965" header="0.51181102362204722" footer="0.51181102362204722"/>
  <pageSetup paperSize="9" scale="65" firstPageNumber="0" orientation="landscape" horizontalDpi="300" verticalDpi="300" r:id="rId1"/>
  <headerFooter alignWithMargins="0"/>
  <ignoredErrors>
    <ignoredError sqref="T34 T5 T8 T10:T11 T15 T36" formulaRange="1"/>
    <ignoredError sqref="T1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workbookViewId="0">
      <selection activeCell="C1" sqref="C1:E1"/>
    </sheetView>
  </sheetViews>
  <sheetFormatPr defaultRowHeight="12.75"/>
  <cols>
    <col min="1" max="1" width="6.42578125" customWidth="1"/>
    <col min="2" max="2" width="76.85546875" customWidth="1"/>
  </cols>
  <sheetData>
    <row r="1" spans="1:5" ht="57.6" customHeight="1">
      <c r="C1" s="127" t="s">
        <v>47</v>
      </c>
      <c r="D1" s="127"/>
      <c r="E1" s="127"/>
    </row>
    <row r="2" spans="1:5">
      <c r="A2" s="124" t="s">
        <v>0</v>
      </c>
      <c r="B2" s="124"/>
      <c r="C2" s="124"/>
      <c r="D2" s="124"/>
      <c r="E2" s="124"/>
    </row>
    <row r="3" spans="1:5">
      <c r="A3" s="124" t="s">
        <v>42</v>
      </c>
      <c r="B3" s="124"/>
      <c r="C3" s="124"/>
      <c r="D3" s="124"/>
      <c r="E3" s="124"/>
    </row>
    <row r="4" spans="1:5" ht="13.5" thickBot="1">
      <c r="A4" s="121"/>
      <c r="B4" s="121"/>
      <c r="C4" s="121"/>
      <c r="D4" s="121"/>
      <c r="E4" s="121"/>
    </row>
    <row r="5" spans="1:5" ht="51.75" thickBot="1">
      <c r="A5" s="4" t="s">
        <v>1</v>
      </c>
      <c r="B5" s="84" t="s">
        <v>2</v>
      </c>
      <c r="C5" s="77" t="s">
        <v>26</v>
      </c>
      <c r="D5" s="62" t="s">
        <v>3</v>
      </c>
      <c r="E5" s="7" t="s">
        <v>4</v>
      </c>
    </row>
    <row r="6" spans="1:5" ht="13.5" thickBot="1">
      <c r="A6" s="41">
        <v>1</v>
      </c>
      <c r="B6" s="85" t="s">
        <v>46</v>
      </c>
      <c r="C6" s="79">
        <f>D6/D19</f>
        <v>1.3276042084973094</v>
      </c>
      <c r="D6" s="35">
        <f t="shared" ref="D6:D16" si="0">E6/12</f>
        <v>33060</v>
      </c>
      <c r="E6" s="39">
        <v>396720</v>
      </c>
    </row>
    <row r="7" spans="1:5" ht="13.5" thickBot="1">
      <c r="A7" s="13">
        <v>2</v>
      </c>
      <c r="B7" s="86" t="s">
        <v>5</v>
      </c>
      <c r="C7" s="80">
        <f>D7/D19</f>
        <v>0.50662597381736407</v>
      </c>
      <c r="D7" s="36">
        <f t="shared" si="0"/>
        <v>12616</v>
      </c>
      <c r="E7" s="45">
        <v>151392</v>
      </c>
    </row>
    <row r="8" spans="1:5" ht="13.5" thickBot="1">
      <c r="A8" s="44">
        <v>3</v>
      </c>
      <c r="B8" s="85" t="s">
        <v>6</v>
      </c>
      <c r="C8" s="79">
        <f>D8/D19</f>
        <v>1.5059031403100153E-2</v>
      </c>
      <c r="D8" s="35">
        <f t="shared" si="0"/>
        <v>375</v>
      </c>
      <c r="E8" s="39">
        <v>4500</v>
      </c>
    </row>
    <row r="9" spans="1:5" ht="13.5" thickBot="1">
      <c r="A9" s="17">
        <v>4</v>
      </c>
      <c r="B9" s="86" t="s">
        <v>27</v>
      </c>
      <c r="C9" s="80">
        <f>D9/D19</f>
        <v>5.4212513051160552E-2</v>
      </c>
      <c r="D9" s="36">
        <f t="shared" si="0"/>
        <v>1350</v>
      </c>
      <c r="E9" s="40">
        <v>16200</v>
      </c>
    </row>
    <row r="10" spans="1:5" ht="13.5" thickBot="1">
      <c r="A10" s="34">
        <v>5</v>
      </c>
      <c r="B10" s="87" t="s">
        <v>40</v>
      </c>
      <c r="C10" s="81">
        <f>D10/D19</f>
        <v>1.1324391615131315</v>
      </c>
      <c r="D10" s="52">
        <f t="shared" si="0"/>
        <v>28200</v>
      </c>
      <c r="E10" s="53">
        <v>338400</v>
      </c>
    </row>
    <row r="11" spans="1:5" ht="13.5" thickBot="1">
      <c r="A11" s="12">
        <v>6</v>
      </c>
      <c r="B11" s="86" t="s">
        <v>41</v>
      </c>
      <c r="C11" s="80">
        <f>D11/D19</f>
        <v>0.10708644553315663</v>
      </c>
      <c r="D11" s="36">
        <f t="shared" si="0"/>
        <v>2666.6666666666665</v>
      </c>
      <c r="E11" s="45">
        <v>32000</v>
      </c>
    </row>
    <row r="12" spans="1:5" ht="13.5" thickBot="1">
      <c r="A12" s="34">
        <v>7</v>
      </c>
      <c r="B12" s="85" t="s">
        <v>37</v>
      </c>
      <c r="C12" s="79">
        <f>D12/D19</f>
        <v>8.0314834149867481E-2</v>
      </c>
      <c r="D12" s="35">
        <f t="shared" si="0"/>
        <v>2000</v>
      </c>
      <c r="E12" s="39">
        <v>24000</v>
      </c>
    </row>
    <row r="13" spans="1:5" ht="13.5" thickBot="1">
      <c r="A13" s="25">
        <v>8</v>
      </c>
      <c r="B13" s="86" t="s">
        <v>39</v>
      </c>
      <c r="C13" s="82">
        <f>D13/D19</f>
        <v>2.5098385671833586E-2</v>
      </c>
      <c r="D13" s="36">
        <f t="shared" si="0"/>
        <v>625</v>
      </c>
      <c r="E13" s="45">
        <v>7500</v>
      </c>
    </row>
    <row r="14" spans="1:5" ht="13.5" thickBot="1">
      <c r="A14" s="44">
        <v>9</v>
      </c>
      <c r="B14" s="88" t="s">
        <v>28</v>
      </c>
      <c r="C14" s="83">
        <f>D14/D19</f>
        <v>0.33464514229111453</v>
      </c>
      <c r="D14" s="35">
        <f t="shared" si="0"/>
        <v>8333.3333333333339</v>
      </c>
      <c r="E14" s="8">
        <v>100000</v>
      </c>
    </row>
    <row r="15" spans="1:5" ht="13.5" thickBot="1">
      <c r="A15" s="11">
        <v>10</v>
      </c>
      <c r="B15" s="89" t="s">
        <v>45</v>
      </c>
      <c r="C15" s="80">
        <f>D15/D19</f>
        <v>1.0039354268733435E-2</v>
      </c>
      <c r="D15" s="36">
        <f t="shared" si="0"/>
        <v>250</v>
      </c>
      <c r="E15" s="56">
        <v>3000</v>
      </c>
    </row>
    <row r="16" spans="1:5" ht="13.5" thickBot="1">
      <c r="A16" s="55">
        <v>11</v>
      </c>
      <c r="B16" s="85" t="s">
        <v>7</v>
      </c>
      <c r="C16" s="79">
        <f>D16/D19</f>
        <v>1.6732257114555726E-2</v>
      </c>
      <c r="D16" s="35">
        <f t="shared" si="0"/>
        <v>416.66666666666669</v>
      </c>
      <c r="E16" s="8">
        <v>5000</v>
      </c>
    </row>
    <row r="17" spans="1:5" ht="13.5" thickBot="1">
      <c r="A17" s="128" t="s">
        <v>8</v>
      </c>
      <c r="B17" s="125"/>
      <c r="C17" s="37">
        <f>SUM(C6:C16)</f>
        <v>3.6098573073113269</v>
      </c>
      <c r="D17" s="57">
        <f>SUM(D6:D16)</f>
        <v>89892.666666666672</v>
      </c>
      <c r="E17" s="38">
        <f>SUM(E6:E16)</f>
        <v>1078712</v>
      </c>
    </row>
    <row r="18" spans="1:5">
      <c r="A18" s="5"/>
      <c r="B18" s="5"/>
      <c r="C18" s="5"/>
      <c r="D18" s="5"/>
      <c r="E18" s="5"/>
    </row>
    <row r="19" spans="1:5">
      <c r="A19" s="115" t="s">
        <v>9</v>
      </c>
      <c r="B19" s="115"/>
      <c r="C19" s="15"/>
      <c r="D19" s="1">
        <v>24902</v>
      </c>
      <c r="E19" s="2" t="s">
        <v>10</v>
      </c>
    </row>
    <row r="20" spans="1:5">
      <c r="A20" s="15"/>
      <c r="B20" s="15"/>
      <c r="C20" s="15"/>
      <c r="D20" s="1"/>
      <c r="E20" s="2"/>
    </row>
    <row r="21" spans="1:5">
      <c r="A21" s="115" t="s">
        <v>30</v>
      </c>
      <c r="B21" s="115"/>
      <c r="C21" s="15"/>
      <c r="D21" s="18">
        <v>2490</v>
      </c>
      <c r="E21" s="19" t="s">
        <v>10</v>
      </c>
    </row>
    <row r="22" spans="1:5">
      <c r="A22" s="115" t="s">
        <v>31</v>
      </c>
      <c r="B22" s="115"/>
      <c r="C22" s="15"/>
      <c r="D22" s="18">
        <f>D21*9</f>
        <v>22410</v>
      </c>
      <c r="E22" s="19" t="s">
        <v>10</v>
      </c>
    </row>
    <row r="23" spans="1:5">
      <c r="A23" s="5"/>
      <c r="B23" s="5"/>
      <c r="C23" s="5"/>
      <c r="D23" s="5"/>
      <c r="E23" s="5"/>
    </row>
    <row r="24" spans="1:5">
      <c r="A24" s="118" t="s">
        <v>44</v>
      </c>
      <c r="B24" s="118"/>
      <c r="C24" s="14"/>
    </row>
    <row r="25" spans="1:5">
      <c r="A25" s="118" t="s">
        <v>29</v>
      </c>
      <c r="B25" s="118"/>
      <c r="C25" s="14"/>
      <c r="D25" s="22">
        <f>D17/D19</f>
        <v>3.6098573073113274</v>
      </c>
      <c r="E25" s="19" t="s">
        <v>11</v>
      </c>
    </row>
    <row r="26" spans="1:5">
      <c r="B26" s="21" t="s">
        <v>32</v>
      </c>
      <c r="C26" s="20"/>
      <c r="D26" s="23">
        <f>D17/(D21+2*D22)</f>
        <v>1.9000775029944339</v>
      </c>
      <c r="E26" s="2" t="s">
        <v>11</v>
      </c>
    </row>
    <row r="27" spans="1:5">
      <c r="B27" s="21" t="s">
        <v>33</v>
      </c>
      <c r="C27" s="21"/>
      <c r="D27" s="23">
        <f>2*D26</f>
        <v>3.8001550059888678</v>
      </c>
      <c r="E27" s="2" t="s">
        <v>11</v>
      </c>
    </row>
    <row r="31" spans="1:5">
      <c r="A31" s="124" t="s">
        <v>43</v>
      </c>
      <c r="B31" s="124"/>
      <c r="C31" s="124"/>
      <c r="D31" s="124"/>
      <c r="E31" s="124"/>
    </row>
    <row r="32" spans="1:5" ht="13.5" thickBot="1">
      <c r="A32" s="121"/>
      <c r="B32" s="121"/>
      <c r="C32" s="121"/>
      <c r="D32" s="121"/>
      <c r="E32" s="121"/>
    </row>
    <row r="33" spans="1:5" ht="51.75" thickBot="1">
      <c r="A33" s="4" t="s">
        <v>1</v>
      </c>
      <c r="B33" s="63" t="s">
        <v>2</v>
      </c>
      <c r="C33" s="76" t="s">
        <v>26</v>
      </c>
      <c r="D33" s="63" t="s">
        <v>3</v>
      </c>
      <c r="E33" s="77" t="s">
        <v>4</v>
      </c>
    </row>
    <row r="34" spans="1:5" ht="13.5" thickBot="1">
      <c r="A34" s="44">
        <v>1</v>
      </c>
      <c r="B34" s="58" t="s">
        <v>34</v>
      </c>
      <c r="C34" s="16">
        <f>D34/D39</f>
        <v>1.1064629562265067</v>
      </c>
      <c r="D34" s="6">
        <f>E34/12</f>
        <v>27375</v>
      </c>
      <c r="E34" s="8">
        <v>328500</v>
      </c>
    </row>
    <row r="35" spans="1:5" ht="13.5" thickBot="1">
      <c r="A35" s="11">
        <v>2</v>
      </c>
      <c r="B35" s="3" t="s">
        <v>38</v>
      </c>
      <c r="C35" s="16">
        <f>D35/D39</f>
        <v>0.12192986001643695</v>
      </c>
      <c r="D35" s="6">
        <f>E35/12</f>
        <v>3016.6666666666665</v>
      </c>
      <c r="E35" s="8">
        <v>36200</v>
      </c>
    </row>
    <row r="36" spans="1:5" ht="13.5" thickBot="1">
      <c r="A36" s="59">
        <v>3</v>
      </c>
      <c r="B36" s="58" t="s">
        <v>35</v>
      </c>
      <c r="C36" s="16">
        <f>D36/D39</f>
        <v>0.14146558344448487</v>
      </c>
      <c r="D36" s="6">
        <f>E36/12</f>
        <v>3500</v>
      </c>
      <c r="E36" s="60">
        <v>42000</v>
      </c>
    </row>
    <row r="37" spans="1:5" ht="13.5" thickBot="1">
      <c r="A37" s="128" t="s">
        <v>8</v>
      </c>
      <c r="B37" s="123"/>
      <c r="C37" s="37">
        <f>SUM(C34:C36)</f>
        <v>1.3698583996874285</v>
      </c>
      <c r="D37" s="57">
        <f>SUM(D34:D36)</f>
        <v>33891.666666666672</v>
      </c>
      <c r="E37" s="38">
        <f>SUM(E34:E36)</f>
        <v>406700</v>
      </c>
    </row>
    <row r="38" spans="1:5">
      <c r="A38" s="5"/>
      <c r="B38" s="5"/>
      <c r="C38" s="5"/>
      <c r="D38" s="5"/>
      <c r="E38" s="5"/>
    </row>
    <row r="39" spans="1:5">
      <c r="A39" s="115" t="s">
        <v>9</v>
      </c>
      <c r="B39" s="115"/>
      <c r="C39" s="15"/>
      <c r="D39" s="1">
        <v>24741</v>
      </c>
      <c r="E39" s="2" t="s">
        <v>10</v>
      </c>
    </row>
    <row r="40" spans="1:5">
      <c r="A40" s="15"/>
      <c r="B40" s="15"/>
      <c r="C40" s="15"/>
      <c r="D40" s="1"/>
      <c r="E40" s="2"/>
    </row>
    <row r="42" spans="1:5">
      <c r="A42" s="118" t="s">
        <v>44</v>
      </c>
      <c r="B42" s="118"/>
      <c r="C42" s="14"/>
    </row>
    <row r="43" spans="1:5">
      <c r="A43" s="118" t="s">
        <v>36</v>
      </c>
      <c r="B43" s="118"/>
      <c r="C43" s="14"/>
      <c r="D43" s="24">
        <f>D37/D39</f>
        <v>1.3698583996874287</v>
      </c>
      <c r="E43" s="2" t="s">
        <v>11</v>
      </c>
    </row>
  </sheetData>
  <mergeCells count="16">
    <mergeCell ref="A21:B21"/>
    <mergeCell ref="A39:B39"/>
    <mergeCell ref="A42:B42"/>
    <mergeCell ref="A43:B43"/>
    <mergeCell ref="C1:E1"/>
    <mergeCell ref="A22:B22"/>
    <mergeCell ref="A24:B24"/>
    <mergeCell ref="A25:B25"/>
    <mergeCell ref="A31:E31"/>
    <mergeCell ref="A32:E32"/>
    <mergeCell ref="A37:B37"/>
    <mergeCell ref="A2:E2"/>
    <mergeCell ref="A3:E3"/>
    <mergeCell ref="A4:E4"/>
    <mergeCell ref="A17:B17"/>
    <mergeCell ref="A19:B19"/>
  </mergeCells>
  <phoneticPr fontId="3" type="noConversion"/>
  <pageMargins left="0.35433070866141736" right="0" top="0.39370078740157483" bottom="0.39370078740157483" header="0.51181102362204722" footer="0.51181102362204722"/>
  <pageSetup paperSize="9" scale="91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Лях</dc:creator>
  <cp:lastModifiedBy>Максим</cp:lastModifiedBy>
  <cp:lastPrinted>2016-01-19T09:02:16Z</cp:lastPrinted>
  <dcterms:created xsi:type="dcterms:W3CDTF">2010-01-09T09:21:13Z</dcterms:created>
  <dcterms:modified xsi:type="dcterms:W3CDTF">2016-01-19T10:29:02Z</dcterms:modified>
</cp:coreProperties>
</file>