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Лист1!$A$1:$U$42</definedName>
  </definedNames>
  <calcPr calcId="144525" refMode="R1C1"/>
</workbook>
</file>

<file path=xl/calcChain.xml><?xml version="1.0" encoding="utf-8"?>
<calcChain xmlns="http://schemas.openxmlformats.org/spreadsheetml/2006/main">
  <c r="E16" i="1" l="1"/>
  <c r="S6" i="1"/>
  <c r="S16" i="1" s="1"/>
  <c r="C6" i="1"/>
  <c r="D6" i="1"/>
  <c r="R6" i="1"/>
  <c r="R16" i="1" s="1"/>
  <c r="Q6" i="1"/>
  <c r="K6" i="1"/>
  <c r="H6" i="1"/>
  <c r="T6" i="1" s="1"/>
  <c r="U6" i="1" s="1"/>
  <c r="J5" i="1"/>
  <c r="I5" i="1"/>
  <c r="G5" i="1"/>
  <c r="T5" i="1" s="1"/>
  <c r="U5" i="1" s="1"/>
  <c r="R5" i="1"/>
  <c r="P5" i="1"/>
  <c r="P16" i="1" s="1"/>
  <c r="Q5" i="1"/>
  <c r="G16" i="1"/>
  <c r="O6" i="1"/>
  <c r="O35" i="1"/>
  <c r="O5" i="1"/>
  <c r="O16" i="1" s="1"/>
  <c r="N5" i="1"/>
  <c r="N16" i="1"/>
  <c r="M5" i="1"/>
  <c r="M6" i="1"/>
  <c r="L35" i="1"/>
  <c r="L36" i="1"/>
  <c r="L6" i="1"/>
  <c r="L5" i="1"/>
  <c r="K5" i="1"/>
  <c r="H5" i="1"/>
  <c r="G14" i="1"/>
  <c r="E37" i="2"/>
  <c r="D36" i="2"/>
  <c r="C36" i="2"/>
  <c r="D35" i="2"/>
  <c r="D37" i="2"/>
  <c r="D43" i="2" s="1"/>
  <c r="C35" i="2"/>
  <c r="D34" i="2"/>
  <c r="C34" i="2"/>
  <c r="C37" i="2" s="1"/>
  <c r="D22" i="2"/>
  <c r="E17" i="2"/>
  <c r="D16" i="2"/>
  <c r="C16" i="2" s="1"/>
  <c r="D15" i="2"/>
  <c r="C15" i="2" s="1"/>
  <c r="D14" i="2"/>
  <c r="C14" i="2" s="1"/>
  <c r="D13" i="2"/>
  <c r="C13" i="2" s="1"/>
  <c r="D12" i="2"/>
  <c r="C12" i="2" s="1"/>
  <c r="D11" i="2"/>
  <c r="C11" i="2" s="1"/>
  <c r="D10" i="2"/>
  <c r="C10" i="2" s="1"/>
  <c r="D9" i="2"/>
  <c r="C9" i="2" s="1"/>
  <c r="D8" i="2"/>
  <c r="C8" i="2" s="1"/>
  <c r="D7" i="2"/>
  <c r="C7" i="2" s="1"/>
  <c r="D6" i="2"/>
  <c r="C6" i="2" s="1"/>
  <c r="C17" i="2" s="1"/>
  <c r="D21" i="1"/>
  <c r="T9" i="1"/>
  <c r="U9" i="1"/>
  <c r="T8" i="1"/>
  <c r="U8" i="1"/>
  <c r="T11" i="1"/>
  <c r="U11" i="1"/>
  <c r="T12" i="1"/>
  <c r="U12" i="1"/>
  <c r="T13" i="1"/>
  <c r="U13" i="1"/>
  <c r="T14" i="1"/>
  <c r="U14" i="1"/>
  <c r="T15" i="1"/>
  <c r="U15" i="1"/>
  <c r="T7" i="1"/>
  <c r="U7" i="1" s="1"/>
  <c r="F36" i="1"/>
  <c r="G36" i="1"/>
  <c r="S36" i="1"/>
  <c r="T33" i="1"/>
  <c r="F16" i="1"/>
  <c r="T10" i="1"/>
  <c r="U10" i="1"/>
  <c r="M16" i="1"/>
  <c r="K16" i="1"/>
  <c r="D14" i="1"/>
  <c r="C14" i="1"/>
  <c r="T34" i="1"/>
  <c r="D34" i="1"/>
  <c r="C34" i="1"/>
  <c r="E36" i="1"/>
  <c r="D12" i="1"/>
  <c r="C12" i="1" s="1"/>
  <c r="D15" i="1"/>
  <c r="D33" i="1"/>
  <c r="D35" i="1"/>
  <c r="D36" i="1" s="1"/>
  <c r="D42" i="1" s="1"/>
  <c r="H36" i="1"/>
  <c r="I36" i="1"/>
  <c r="J36" i="1"/>
  <c r="K36" i="1"/>
  <c r="M36" i="1"/>
  <c r="N36" i="1"/>
  <c r="O36" i="1"/>
  <c r="P36" i="1"/>
  <c r="Q36" i="1"/>
  <c r="R36" i="1"/>
  <c r="T35" i="1"/>
  <c r="T36" i="1" s="1"/>
  <c r="U35" i="1"/>
  <c r="D13" i="1"/>
  <c r="C13" i="1"/>
  <c r="D10" i="1"/>
  <c r="C10" i="1"/>
  <c r="D11" i="1"/>
  <c r="C11" i="1"/>
  <c r="D5" i="1"/>
  <c r="C5" i="1" s="1"/>
  <c r="D9" i="1"/>
  <c r="C9" i="1" s="1"/>
  <c r="I16" i="1"/>
  <c r="D8" i="1"/>
  <c r="C8" i="1"/>
  <c r="D7" i="1"/>
  <c r="C7" i="1"/>
  <c r="Q16" i="1"/>
  <c r="J16" i="1"/>
  <c r="L16" i="1"/>
  <c r="C33" i="1"/>
  <c r="U33" i="1"/>
  <c r="H16" i="1"/>
  <c r="U34" i="1"/>
  <c r="T16" i="1" l="1"/>
  <c r="D16" i="1"/>
  <c r="D24" i="1" s="1"/>
  <c r="U36" i="1"/>
  <c r="U16" i="1"/>
  <c r="D17" i="2"/>
  <c r="C35" i="1"/>
  <c r="C36" i="1" s="1"/>
  <c r="D25" i="1"/>
  <c r="C15" i="1"/>
  <c r="C16" i="1" s="1"/>
  <c r="D26" i="2" l="1"/>
  <c r="D27" i="2" s="1"/>
  <c r="D25" i="2"/>
</calcChain>
</file>

<file path=xl/comments1.xml><?xml version="1.0" encoding="utf-8"?>
<comments xmlns="http://schemas.openxmlformats.org/spreadsheetml/2006/main">
  <authors>
    <author>Максим</author>
    <author>Админ</author>
    <author>Владелец</author>
  </authors>
  <commentList>
    <comment ref="U6" authorId="0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10920 не берем НДФЛ с Чехлотенко</t>
        </r>
      </text>
    </comment>
    <comment ref="N10" authorId="1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Плата ПКЛ 32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В резервный фонд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сотовый телефон в лифтерскую</t>
        </r>
      </text>
    </comment>
    <comment ref="H15" authorId="2">
      <text>
        <r>
          <rPr>
            <b/>
            <sz val="9"/>
            <color indexed="81"/>
            <rFont val="Tahoma"/>
            <charset val="1"/>
          </rPr>
          <t>Владелец:</t>
        </r>
        <r>
          <rPr>
            <sz val="9"/>
            <color indexed="81"/>
            <rFont val="Tahoma"/>
            <charset val="1"/>
          </rPr>
          <t xml:space="preserve">
Переосвидетельствование лифтов
</t>
        </r>
      </text>
    </comment>
    <comment ref="M34" authorId="2">
      <text>
        <r>
          <rPr>
            <b/>
            <sz val="9"/>
            <color indexed="81"/>
            <rFont val="Tahoma"/>
            <charset val="1"/>
          </rPr>
          <t>Владелец:</t>
        </r>
        <r>
          <rPr>
            <sz val="9"/>
            <color indexed="81"/>
            <rFont val="Tahoma"/>
            <charset val="1"/>
          </rPr>
          <t xml:space="preserve">
Окрашивание контейнеров 
</t>
        </r>
      </text>
    </comment>
  </commentList>
</comments>
</file>

<file path=xl/sharedStrings.xml><?xml version="1.0" encoding="utf-8"?>
<sst xmlns="http://schemas.openxmlformats.org/spreadsheetml/2006/main" count="129" uniqueCount="51">
  <si>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</si>
  <si>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</si>
  <si>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</si>
  <si>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</si>
  <si>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</si>
  <si>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</si>
  <si>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</si>
  <si>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</si>
  <si>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</si>
  <si>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</si>
  <si>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</si>
  <si>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</si>
  <si>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</si>
  <si>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</si>
  <si>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</si>
  <si>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</si>
  <si>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</si>
  <si>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</si>
  <si>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</si>
  <si>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</si>
  <si>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</si>
  <si>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</si>
  <si>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</si>
  <si>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</si>
  <si>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</si>
  <si>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</si>
  <si>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</si>
  <si>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</si>
  <si>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</si>
  <si>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</si>
  <si>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</si>
  <si>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</si>
  <si>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</si>
  <si>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</si>
  <si>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</si>
  <si>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</si>
  <si>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</si>
  <si>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</si>
  <si>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Обслуживание контейнерной площадки</t>
  </si>
  <si>
    <t>Модернизация диспетчерского пульта</t>
  </si>
  <si>
    <t>Техническое обслуживание (по договору):</t>
  </si>
  <si>
    <t>Приобретение материалов и запчастей, текущий ремонт:</t>
  </si>
  <si>
    <t>в январе 2013г. за декабрь 2012г.</t>
  </si>
  <si>
    <t>техническому содержанию и ремонту лифтового хозяйства многоквартирного дома на 2013г.</t>
  </si>
  <si>
    <t>Смета расходов ТСЖ "ПРОСТОР" по сбору и вывозу ТБО на 2013г.</t>
  </si>
  <si>
    <t>На основании сметы расходов на 2013 г. Правление ТСЖ предлагает утвердить</t>
  </si>
  <si>
    <t xml:space="preserve">Услуги связи </t>
  </si>
  <si>
    <t>Фонд оплаты труда с начислениями обслуживающему персоналу</t>
  </si>
  <si>
    <t>в январе 2014г. за декабрь 2013г.</t>
  </si>
  <si>
    <t>Сумма расходов по месяцам 2013 года, руб.</t>
  </si>
  <si>
    <t>Утверждено:                             Решением общего собрания членов ТСЖ "ПРОСТОР"                                    от 02-03 февраля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</si>
</sst>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1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" fontId="4" fillId="0" borderId="5" xfId="0" applyNumberFormat="1" applyFont="1" applyBorder="1"/>
    <xf numFmtId="1" fontId="4" fillId="3" borderId="6" xfId="0" applyNumberFormat="1" applyFont="1" applyFill="1" applyBorder="1"/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/>
    <xf numFmtId="0" fontId="1" fillId="0" borderId="13" xfId="0" applyFont="1" applyBorder="1" applyAlignment="1">
      <alignment horizontal="center"/>
    </xf>
    <xf numFmtId="1" fontId="4" fillId="0" borderId="14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9" xfId="0" applyFont="1" applyBorder="1"/>
    <xf numFmtId="0" fontId="4" fillId="4" borderId="5" xfId="0" applyFont="1" applyFill="1" applyBorder="1" applyAlignment="1">
      <alignment horizontal="center" vertical="justify"/>
    </xf>
    <xf numFmtId="0" fontId="1" fillId="0" borderId="17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1" fillId="0" borderId="1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/>
    <xf numFmtId="0" fontId="4" fillId="0" borderId="0" xfId="0" applyFont="1" applyFill="1" applyBorder="1"/>
    <xf numFmtId="0" fontId="4" fillId="0" borderId="12" xfId="0" applyFont="1" applyFill="1" applyBorder="1"/>
    <xf numFmtId="1" fontId="4" fillId="0" borderId="19" xfId="0" applyNumberFormat="1" applyFont="1" applyBorder="1"/>
    <xf numFmtId="1" fontId="4" fillId="0" borderId="4" xfId="0" applyNumberFormat="1" applyFont="1" applyBorder="1"/>
    <xf numFmtId="0" fontId="3" fillId="0" borderId="12" xfId="0" applyFont="1" applyFill="1" applyBorder="1"/>
    <xf numFmtId="0" fontId="3" fillId="0" borderId="0" xfId="0" applyFont="1" applyFill="1" applyBorder="1"/>
    <xf numFmtId="1" fontId="4" fillId="0" borderId="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" xfId="0" applyBorder="1"/>
    <xf numFmtId="0" fontId="4" fillId="0" borderId="5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16" fontId="4" fillId="4" borderId="13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" fontId="4" fillId="4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/>
    <xf numFmtId="0" fontId="4" fillId="4" borderId="23" xfId="0" applyFont="1" applyFill="1" applyBorder="1"/>
    <xf numFmtId="0" fontId="4" fillId="4" borderId="24" xfId="0" applyFont="1" applyFill="1" applyBorder="1"/>
    <xf numFmtId="0" fontId="4" fillId="4" borderId="5" xfId="0" applyFont="1" applyFill="1" applyBorder="1"/>
    <xf numFmtId="0" fontId="4" fillId="4" borderId="18" xfId="0" applyFont="1" applyFill="1" applyBorder="1"/>
    <xf numFmtId="1" fontId="4" fillId="3" borderId="18" xfId="0" applyNumberFormat="1" applyFont="1" applyFill="1" applyBorder="1"/>
    <xf numFmtId="1" fontId="4" fillId="3" borderId="5" xfId="0" applyNumberFormat="1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/>
    <xf numFmtId="0" fontId="1" fillId="0" borderId="13" xfId="0" applyFont="1" applyBorder="1" applyAlignment="1">
      <alignment horizontal="right"/>
    </xf>
    <xf numFmtId="2" fontId="4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0" fillId="0" borderId="5" xfId="0" applyFont="1" applyBorder="1"/>
    <xf numFmtId="0" fontId="1" fillId="0" borderId="12" xfId="0" applyFont="1" applyFill="1" applyBorder="1"/>
    <xf numFmtId="0" fontId="1" fillId="0" borderId="0" xfId="0" applyFont="1" applyFill="1" applyBorder="1"/>
    <xf numFmtId="0" fontId="1" fillId="2" borderId="2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0" borderId="0" xfId="0" applyAlignment="1">
      <alignment horizontal="center" vertical="justify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Normal="100" workbookViewId="0">
      <selection activeCell="A2" sqref="A2:E2"/>
    </sheetView>
  </sheetViews>
  <sheetFormatPr defaultRowHeight="13.2" x14ac:dyDescent="0.25"/>
  <cols>
    <col min="1" max="1" width="6" bestFit="1" customWidth="1"/>
    <col min="2" max="2" width="78.44140625" customWidth="1"/>
    <col min="3" max="3" width="9" customWidth="1"/>
    <col min="4" max="4" width="8.6640625" customWidth="1"/>
    <col min="5" max="5" width="8.109375" customWidth="1"/>
    <col min="6" max="6" width="9.6640625" customWidth="1"/>
    <col min="7" max="7" width="7.88671875" bestFit="1" customWidth="1"/>
    <col min="8" max="8" width="9.5546875" bestFit="1" customWidth="1"/>
    <col min="9" max="9" width="6" bestFit="1" customWidth="1"/>
    <col min="10" max="10" width="7.88671875" bestFit="1" customWidth="1"/>
    <col min="11" max="11" width="9" bestFit="1" customWidth="1"/>
    <col min="12" max="13" width="6" bestFit="1" customWidth="1"/>
    <col min="14" max="14" width="9" bestFit="1" customWidth="1"/>
    <col min="15" max="15" width="9.6640625" bestFit="1" customWidth="1"/>
    <col min="16" max="16" width="8.5546875" bestFit="1" customWidth="1"/>
    <col min="17" max="17" width="7.88671875" bestFit="1" customWidth="1"/>
    <col min="18" max="18" width="8.88671875" bestFit="1" customWidth="1"/>
    <col min="20" max="21" width="9.5546875" customWidth="1"/>
  </cols>
  <sheetData>
    <row r="1" spans="1:21" x14ac:dyDescent="0.25">
      <c r="A1" s="115" t="s">
        <v>0</v>
      </c>
      <c r="B1" s="115"/>
      <c r="C1" s="115"/>
      <c r="D1" s="115"/>
      <c r="E1" s="115"/>
      <c r="F1" s="29"/>
    </row>
    <row r="2" spans="1:21" ht="13.8" thickBot="1" x14ac:dyDescent="0.3">
      <c r="A2" s="115" t="s">
        <v>43</v>
      </c>
      <c r="B2" s="115"/>
      <c r="C2" s="115"/>
      <c r="D2" s="115"/>
      <c r="E2" s="115"/>
      <c r="F2" s="29"/>
    </row>
    <row r="3" spans="1:21" ht="13.8" thickBot="1" x14ac:dyDescent="0.3">
      <c r="A3" s="116"/>
      <c r="B3" s="116"/>
      <c r="C3" s="116"/>
      <c r="D3" s="116"/>
      <c r="E3" s="116"/>
      <c r="F3" s="30"/>
      <c r="G3" s="118" t="s">
        <v>49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32"/>
      <c r="T3" s="111" t="s">
        <v>24</v>
      </c>
      <c r="U3" s="111" t="s">
        <v>25</v>
      </c>
    </row>
    <row r="4" spans="1:21" ht="53.4" customHeight="1" thickBot="1" x14ac:dyDescent="0.3">
      <c r="A4" s="7" t="s">
        <v>1</v>
      </c>
      <c r="B4" s="98" t="s">
        <v>2</v>
      </c>
      <c r="C4" s="81" t="s">
        <v>26</v>
      </c>
      <c r="D4" s="66" t="s">
        <v>3</v>
      </c>
      <c r="E4" s="7" t="s">
        <v>4</v>
      </c>
      <c r="F4" s="34" t="s">
        <v>42</v>
      </c>
      <c r="G4" s="69" t="s">
        <v>12</v>
      </c>
      <c r="H4" s="68" t="s">
        <v>13</v>
      </c>
      <c r="I4" s="69" t="s">
        <v>14</v>
      </c>
      <c r="J4" s="68" t="s">
        <v>15</v>
      </c>
      <c r="K4" s="69" t="s">
        <v>16</v>
      </c>
      <c r="L4" s="68" t="s">
        <v>17</v>
      </c>
      <c r="M4" s="69" t="s">
        <v>18</v>
      </c>
      <c r="N4" s="68" t="s">
        <v>19</v>
      </c>
      <c r="O4" s="69" t="s">
        <v>20</v>
      </c>
      <c r="P4" s="68" t="s">
        <v>21</v>
      </c>
      <c r="Q4" s="69" t="s">
        <v>22</v>
      </c>
      <c r="R4" s="68" t="s">
        <v>23</v>
      </c>
      <c r="S4" s="34" t="s">
        <v>48</v>
      </c>
      <c r="T4" s="112"/>
      <c r="U4" s="112"/>
    </row>
    <row r="5" spans="1:21" ht="13.8" thickBot="1" x14ac:dyDescent="0.3">
      <c r="A5" s="102">
        <v>1</v>
      </c>
      <c r="B5" s="99" t="s">
        <v>47</v>
      </c>
      <c r="C5" s="84">
        <f>D5/D18</f>
        <v>1.3276042084973094</v>
      </c>
      <c r="D5" s="36">
        <f t="shared" ref="D5:D15" si="0">E5/12</f>
        <v>33060</v>
      </c>
      <c r="E5" s="40">
        <v>396720</v>
      </c>
      <c r="F5" s="44"/>
      <c r="G5" s="40">
        <f>15445+15444</f>
        <v>30889</v>
      </c>
      <c r="H5" s="43">
        <f>18705+16530</f>
        <v>35235</v>
      </c>
      <c r="I5" s="44">
        <f>17895</f>
        <v>17895</v>
      </c>
      <c r="J5" s="43">
        <f>17712+16802</f>
        <v>34514</v>
      </c>
      <c r="K5" s="44">
        <f>16802+23013</f>
        <v>39815</v>
      </c>
      <c r="L5" s="43">
        <f>13757+17253</f>
        <v>31010</v>
      </c>
      <c r="M5" s="44">
        <f>13757+21987+3248</f>
        <v>38992</v>
      </c>
      <c r="N5" s="43">
        <f>12635</f>
        <v>12635</v>
      </c>
      <c r="O5" s="44">
        <f>19352+13302</f>
        <v>32654</v>
      </c>
      <c r="P5" s="43">
        <f>28890+10257</f>
        <v>39147</v>
      </c>
      <c r="Q5" s="44">
        <f>12401+16802</f>
        <v>29203</v>
      </c>
      <c r="R5" s="43">
        <f>14163+13757+20727</f>
        <v>48647</v>
      </c>
      <c r="S5" s="44">
        <v>6090</v>
      </c>
      <c r="T5" s="28">
        <f>SUM(G5:S5)</f>
        <v>396726</v>
      </c>
      <c r="U5" s="9">
        <f t="shared" ref="U5:U14" si="1">E5-T5</f>
        <v>-6</v>
      </c>
    </row>
    <row r="6" spans="1:21" ht="13.8" thickBot="1" x14ac:dyDescent="0.3">
      <c r="A6" s="102">
        <v>2</v>
      </c>
      <c r="B6" s="91" t="s">
        <v>5</v>
      </c>
      <c r="C6" s="85">
        <f>D6/D18</f>
        <v>0.50662597381736407</v>
      </c>
      <c r="D6" s="37">
        <f>E6/12</f>
        <v>12616</v>
      </c>
      <c r="E6" s="46">
        <v>151392</v>
      </c>
      <c r="F6" s="49">
        <v>7171</v>
      </c>
      <c r="G6" s="47">
        <v>18889</v>
      </c>
      <c r="H6" s="48">
        <f>2990</f>
        <v>2990</v>
      </c>
      <c r="I6" s="49">
        <v>12359</v>
      </c>
      <c r="J6" s="48">
        <v>11201</v>
      </c>
      <c r="K6" s="49">
        <f>527+6828.36+2015+74+2844</f>
        <v>12288.36</v>
      </c>
      <c r="L6" s="48">
        <f>1560+1814</f>
        <v>3374</v>
      </c>
      <c r="M6" s="49">
        <f>527+6828+1814+2311</f>
        <v>11480</v>
      </c>
      <c r="N6" s="48">
        <v>9614</v>
      </c>
      <c r="O6" s="49">
        <f>2730+12.7+527+6828+1820+350</f>
        <v>12267.7</v>
      </c>
      <c r="P6" s="48">
        <v>11596</v>
      </c>
      <c r="Q6" s="49">
        <f>6308+527+74+1820+2275</f>
        <v>11004</v>
      </c>
      <c r="R6" s="48">
        <f>2275+1361+6573.4+420+70</f>
        <v>10699.4</v>
      </c>
      <c r="S6" s="49">
        <f>42+7802</f>
        <v>7844</v>
      </c>
      <c r="T6" s="50">
        <f>SUM(G6:S6)</f>
        <v>135606.46</v>
      </c>
      <c r="U6" s="51">
        <f t="shared" si="1"/>
        <v>15785.540000000008</v>
      </c>
    </row>
    <row r="7" spans="1:21" ht="13.8" thickBot="1" x14ac:dyDescent="0.3">
      <c r="A7" s="103">
        <v>3</v>
      </c>
      <c r="B7" s="99" t="s">
        <v>6</v>
      </c>
      <c r="C7" s="84">
        <f>D7/D18</f>
        <v>1.5059031403100153E-2</v>
      </c>
      <c r="D7" s="36">
        <f t="shared" si="0"/>
        <v>375</v>
      </c>
      <c r="E7" s="40">
        <v>4500</v>
      </c>
      <c r="F7" s="44"/>
      <c r="G7" s="44"/>
      <c r="H7" s="43"/>
      <c r="I7" s="44"/>
      <c r="J7" s="43"/>
      <c r="K7" s="44"/>
      <c r="L7" s="43"/>
      <c r="M7" s="44"/>
      <c r="N7" s="43"/>
      <c r="O7" s="44"/>
      <c r="P7" s="43"/>
      <c r="Q7" s="44"/>
      <c r="R7" s="43"/>
      <c r="S7" s="44"/>
      <c r="T7" s="28">
        <f>SUM(G7:S7)</f>
        <v>0</v>
      </c>
      <c r="U7" s="9">
        <f t="shared" si="1"/>
        <v>4500</v>
      </c>
    </row>
    <row r="8" spans="1:21" s="5" customFormat="1" ht="13.8" thickBot="1" x14ac:dyDescent="0.3">
      <c r="A8" s="104">
        <v>4</v>
      </c>
      <c r="B8" s="91" t="s">
        <v>27</v>
      </c>
      <c r="C8" s="85">
        <f>D8/D18</f>
        <v>5.4212513051160552E-2</v>
      </c>
      <c r="D8" s="37">
        <f t="shared" si="0"/>
        <v>1350</v>
      </c>
      <c r="E8" s="41">
        <v>16200</v>
      </c>
      <c r="F8" s="49">
        <v>16200</v>
      </c>
      <c r="G8" s="52"/>
      <c r="H8" s="48"/>
      <c r="I8" s="52"/>
      <c r="J8" s="53"/>
      <c r="K8" s="52"/>
      <c r="L8" s="53"/>
      <c r="M8" s="52"/>
      <c r="N8" s="53"/>
      <c r="O8" s="52"/>
      <c r="P8" s="53"/>
      <c r="Q8" s="52"/>
      <c r="R8" s="53"/>
      <c r="S8" s="49">
        <v>12600</v>
      </c>
      <c r="T8" s="50">
        <f t="shared" ref="T8:T15" si="2">SUM(G8:S8)</f>
        <v>12600</v>
      </c>
      <c r="U8" s="26">
        <f t="shared" si="1"/>
        <v>3600</v>
      </c>
    </row>
    <row r="9" spans="1:21" ht="13.8" thickBot="1" x14ac:dyDescent="0.3">
      <c r="A9" s="105">
        <v>5</v>
      </c>
      <c r="B9" s="100" t="s">
        <v>40</v>
      </c>
      <c r="C9" s="86">
        <f>D9/D18</f>
        <v>1.1324391615131315</v>
      </c>
      <c r="D9" s="54">
        <f t="shared" si="0"/>
        <v>28200</v>
      </c>
      <c r="E9" s="55">
        <v>338400</v>
      </c>
      <c r="F9" s="44">
        <v>28200</v>
      </c>
      <c r="G9" s="55"/>
      <c r="H9" s="43">
        <v>28200</v>
      </c>
      <c r="I9" s="44">
        <v>28200</v>
      </c>
      <c r="J9" s="43">
        <v>28200</v>
      </c>
      <c r="K9" s="44">
        <v>28200</v>
      </c>
      <c r="L9" s="43">
        <v>28200</v>
      </c>
      <c r="M9" s="44">
        <v>28200</v>
      </c>
      <c r="N9" s="43">
        <v>28200</v>
      </c>
      <c r="O9" s="44">
        <v>28200</v>
      </c>
      <c r="P9" s="43">
        <v>28200</v>
      </c>
      <c r="Q9" s="44">
        <v>28200</v>
      </c>
      <c r="R9" s="43">
        <v>28200</v>
      </c>
      <c r="S9" s="44">
        <v>28200</v>
      </c>
      <c r="T9" s="28">
        <f>SUM(G9:S9)</f>
        <v>338400</v>
      </c>
      <c r="U9" s="9">
        <f t="shared" si="1"/>
        <v>0</v>
      </c>
    </row>
    <row r="10" spans="1:21" ht="13.8" thickBot="1" x14ac:dyDescent="0.3">
      <c r="A10" s="105">
        <v>6</v>
      </c>
      <c r="B10" s="91" t="s">
        <v>41</v>
      </c>
      <c r="C10" s="85">
        <f>D10/D18</f>
        <v>0.10708644553315663</v>
      </c>
      <c r="D10" s="37">
        <f t="shared" si="0"/>
        <v>2666.6666666666665</v>
      </c>
      <c r="E10" s="46">
        <v>32000</v>
      </c>
      <c r="F10" s="49"/>
      <c r="G10" s="49"/>
      <c r="H10" s="48"/>
      <c r="I10" s="49">
        <v>4250</v>
      </c>
      <c r="J10" s="48"/>
      <c r="K10" s="49"/>
      <c r="L10" s="48">
        <v>4100</v>
      </c>
      <c r="M10" s="49"/>
      <c r="N10" s="48">
        <v>30869.98</v>
      </c>
      <c r="O10" s="49">
        <v>6780</v>
      </c>
      <c r="P10" s="48">
        <v>5234</v>
      </c>
      <c r="Q10" s="49">
        <v>2550</v>
      </c>
      <c r="R10" s="48"/>
      <c r="S10" s="49"/>
      <c r="T10" s="50">
        <f t="shared" si="2"/>
        <v>53783.979999999996</v>
      </c>
      <c r="U10" s="26">
        <f t="shared" si="1"/>
        <v>-21783.979999999996</v>
      </c>
    </row>
    <row r="11" spans="1:21" ht="13.8" thickBot="1" x14ac:dyDescent="0.3">
      <c r="A11" s="105">
        <v>7</v>
      </c>
      <c r="B11" s="99" t="s">
        <v>37</v>
      </c>
      <c r="C11" s="84">
        <f>D11/D18</f>
        <v>8.0314834149867481E-2</v>
      </c>
      <c r="D11" s="36">
        <f t="shared" si="0"/>
        <v>2000</v>
      </c>
      <c r="E11" s="40">
        <v>24000</v>
      </c>
      <c r="F11" s="44"/>
      <c r="G11" s="56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/>
      <c r="S11" s="44"/>
      <c r="T11" s="28">
        <f t="shared" si="2"/>
        <v>0</v>
      </c>
      <c r="U11" s="9">
        <f t="shared" si="1"/>
        <v>24000</v>
      </c>
    </row>
    <row r="12" spans="1:21" ht="13.8" thickBot="1" x14ac:dyDescent="0.3">
      <c r="A12" s="106">
        <v>8</v>
      </c>
      <c r="B12" s="91" t="s">
        <v>39</v>
      </c>
      <c r="C12" s="87">
        <f>D12/D18</f>
        <v>2.5098385671833586E-2</v>
      </c>
      <c r="D12" s="37">
        <f t="shared" si="0"/>
        <v>625</v>
      </c>
      <c r="E12" s="46">
        <v>7500</v>
      </c>
      <c r="F12" s="49"/>
      <c r="G12" s="49"/>
      <c r="H12" s="48"/>
      <c r="I12" s="49"/>
      <c r="J12" s="48"/>
      <c r="K12" s="49"/>
      <c r="L12" s="48"/>
      <c r="M12" s="49"/>
      <c r="N12" s="48"/>
      <c r="O12" s="49"/>
      <c r="P12" s="48"/>
      <c r="Q12" s="49"/>
      <c r="R12" s="48"/>
      <c r="S12" s="49"/>
      <c r="T12" s="50">
        <f t="shared" si="2"/>
        <v>0</v>
      </c>
      <c r="U12" s="26">
        <f t="shared" si="1"/>
        <v>7500</v>
      </c>
    </row>
    <row r="13" spans="1:21" ht="13.8" thickBot="1" x14ac:dyDescent="0.3">
      <c r="A13" s="103">
        <v>9</v>
      </c>
      <c r="B13" s="101" t="s">
        <v>28</v>
      </c>
      <c r="C13" s="88">
        <f>D13/D18</f>
        <v>0.33464514229111453</v>
      </c>
      <c r="D13" s="36">
        <f t="shared" si="0"/>
        <v>8333.3333333333339</v>
      </c>
      <c r="E13" s="8">
        <v>100000</v>
      </c>
      <c r="F13" s="44">
        <v>100000</v>
      </c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28">
        <f t="shared" si="2"/>
        <v>0</v>
      </c>
      <c r="U13" s="9">
        <f t="shared" si="1"/>
        <v>100000</v>
      </c>
    </row>
    <row r="14" spans="1:21" ht="13.8" thickBot="1" x14ac:dyDescent="0.3">
      <c r="A14" s="103">
        <v>10</v>
      </c>
      <c r="B14" s="94" t="s">
        <v>46</v>
      </c>
      <c r="C14" s="85">
        <f>D14/D18</f>
        <v>1.0039354268733435E-2</v>
      </c>
      <c r="D14" s="37">
        <f t="shared" si="0"/>
        <v>250</v>
      </c>
      <c r="E14" s="58">
        <v>3000</v>
      </c>
      <c r="F14" s="49"/>
      <c r="G14" s="49">
        <f>790+250</f>
        <v>1040</v>
      </c>
      <c r="H14" s="48">
        <v>250</v>
      </c>
      <c r="I14" s="96">
        <v>250</v>
      </c>
      <c r="J14" s="97">
        <v>250</v>
      </c>
      <c r="K14" s="96">
        <v>250</v>
      </c>
      <c r="L14" s="97">
        <v>250</v>
      </c>
      <c r="M14" s="96"/>
      <c r="N14" s="97">
        <v>500</v>
      </c>
      <c r="O14" s="96">
        <v>500</v>
      </c>
      <c r="P14" s="97"/>
      <c r="Q14" s="96"/>
      <c r="R14" s="97">
        <v>500</v>
      </c>
      <c r="S14" s="49"/>
      <c r="T14" s="50">
        <f t="shared" si="2"/>
        <v>3790</v>
      </c>
      <c r="U14" s="9">
        <f t="shared" si="1"/>
        <v>-790</v>
      </c>
    </row>
    <row r="15" spans="1:21" ht="13.8" thickBot="1" x14ac:dyDescent="0.3">
      <c r="A15" s="107">
        <v>11</v>
      </c>
      <c r="B15" s="99" t="s">
        <v>7</v>
      </c>
      <c r="C15" s="84">
        <f>D15/D18</f>
        <v>2.2508232270500361E-2</v>
      </c>
      <c r="D15" s="36">
        <f t="shared" si="0"/>
        <v>560.5</v>
      </c>
      <c r="E15" s="8">
        <v>6726</v>
      </c>
      <c r="F15" s="44">
        <v>790</v>
      </c>
      <c r="G15" s="44"/>
      <c r="H15" s="43">
        <v>27600</v>
      </c>
      <c r="I15" s="44"/>
      <c r="J15" s="43"/>
      <c r="K15" s="44"/>
      <c r="L15" s="43"/>
      <c r="M15" s="44"/>
      <c r="N15" s="43"/>
      <c r="O15" s="44"/>
      <c r="P15" s="43"/>
      <c r="Q15" s="44"/>
      <c r="R15" s="43"/>
      <c r="S15" s="44"/>
      <c r="T15" s="28">
        <f t="shared" si="2"/>
        <v>27600</v>
      </c>
      <c r="U15" s="9">
        <f>E15-T15</f>
        <v>-20874</v>
      </c>
    </row>
    <row r="16" spans="1:21" ht="13.8" thickBot="1" x14ac:dyDescent="0.3">
      <c r="A16" s="113" t="s">
        <v>8</v>
      </c>
      <c r="B16" s="114"/>
      <c r="C16" s="38">
        <f t="shared" ref="C16:I16" si="3">SUM(C5:C15)</f>
        <v>3.6156332824672717</v>
      </c>
      <c r="D16" s="59">
        <f t="shared" si="3"/>
        <v>90036.5</v>
      </c>
      <c r="E16" s="39">
        <f t="shared" si="3"/>
        <v>1080438</v>
      </c>
      <c r="F16" s="31">
        <f>SUM(F5:F15)</f>
        <v>152361</v>
      </c>
      <c r="G16" s="82">
        <f>SUM(G5:G15)</f>
        <v>50818</v>
      </c>
      <c r="H16" s="76">
        <f t="shared" si="3"/>
        <v>94275</v>
      </c>
      <c r="I16" s="77">
        <f t="shared" si="3"/>
        <v>62954</v>
      </c>
      <c r="J16" s="76">
        <f t="shared" ref="J16:S16" si="4">SUM(J5:J15)</f>
        <v>74165</v>
      </c>
      <c r="K16" s="77">
        <f t="shared" si="4"/>
        <v>80553.36</v>
      </c>
      <c r="L16" s="76">
        <f t="shared" si="4"/>
        <v>66934</v>
      </c>
      <c r="M16" s="77">
        <f t="shared" si="4"/>
        <v>78672</v>
      </c>
      <c r="N16" s="76">
        <f t="shared" si="4"/>
        <v>81818.98</v>
      </c>
      <c r="O16" s="77">
        <f t="shared" si="4"/>
        <v>80401.7</v>
      </c>
      <c r="P16" s="76">
        <f t="shared" si="4"/>
        <v>84177</v>
      </c>
      <c r="Q16" s="77">
        <f t="shared" si="4"/>
        <v>70957</v>
      </c>
      <c r="R16" s="76">
        <f t="shared" si="4"/>
        <v>88046.399999999994</v>
      </c>
      <c r="S16" s="75">
        <f t="shared" si="4"/>
        <v>54734</v>
      </c>
      <c r="T16" s="10">
        <f>SUM(G16:S16)</f>
        <v>968506.44</v>
      </c>
      <c r="U16" s="10">
        <f>SUM(U5:U15)</f>
        <v>111931.56</v>
      </c>
    </row>
    <row r="17" spans="1:21" s="5" customFormat="1" ht="12.6" customHeight="1" x14ac:dyDescent="0.2"/>
    <row r="18" spans="1:21" x14ac:dyDescent="0.25">
      <c r="A18" s="117" t="s">
        <v>9</v>
      </c>
      <c r="B18" s="117"/>
      <c r="C18" s="15"/>
      <c r="D18" s="1">
        <v>24902</v>
      </c>
      <c r="E18" s="2" t="s">
        <v>10</v>
      </c>
      <c r="F18" s="2"/>
    </row>
    <row r="19" spans="1:21" x14ac:dyDescent="0.25">
      <c r="A19" s="15"/>
      <c r="B19" s="15"/>
      <c r="C19" s="15"/>
      <c r="D19" s="1"/>
      <c r="E19" s="2"/>
      <c r="F19" s="2"/>
    </row>
    <row r="20" spans="1:21" x14ac:dyDescent="0.25">
      <c r="A20" s="117" t="s">
        <v>30</v>
      </c>
      <c r="B20" s="117"/>
      <c r="C20" s="15"/>
      <c r="D20" s="18">
        <v>2490</v>
      </c>
      <c r="E20" s="19" t="s">
        <v>10</v>
      </c>
      <c r="F20" s="19"/>
    </row>
    <row r="21" spans="1:21" x14ac:dyDescent="0.25">
      <c r="A21" s="117" t="s">
        <v>31</v>
      </c>
      <c r="B21" s="117"/>
      <c r="C21" s="15"/>
      <c r="D21" s="18">
        <f>D20*9</f>
        <v>22410</v>
      </c>
      <c r="E21" s="19" t="s">
        <v>10</v>
      </c>
      <c r="F21" s="19"/>
    </row>
    <row r="22" spans="1:21" s="5" customFormat="1" ht="10.199999999999999" x14ac:dyDescent="0.2"/>
    <row r="23" spans="1:21" x14ac:dyDescent="0.25">
      <c r="A23" s="110" t="s">
        <v>45</v>
      </c>
      <c r="B23" s="110"/>
      <c r="C23" s="14"/>
    </row>
    <row r="24" spans="1:21" x14ac:dyDescent="0.25">
      <c r="A24" s="110" t="s">
        <v>29</v>
      </c>
      <c r="B24" s="110"/>
      <c r="C24" s="14"/>
      <c r="D24" s="22">
        <f>D16/D18</f>
        <v>3.6156332824672717</v>
      </c>
      <c r="E24" s="19" t="s">
        <v>11</v>
      </c>
      <c r="F24" s="19"/>
    </row>
    <row r="25" spans="1:21" x14ac:dyDescent="0.25">
      <c r="B25" s="21" t="s">
        <v>32</v>
      </c>
      <c r="C25" s="20"/>
      <c r="D25" s="23">
        <f>D16/(D20+2*D21)</f>
        <v>1.9031177340942718</v>
      </c>
      <c r="E25" s="2" t="s">
        <v>11</v>
      </c>
      <c r="F25" s="2"/>
    </row>
    <row r="26" spans="1:21" x14ac:dyDescent="0.25">
      <c r="B26" s="21" t="s">
        <v>33</v>
      </c>
      <c r="C26" s="21"/>
      <c r="D26" s="23">
        <v>3.8</v>
      </c>
      <c r="E26" s="2" t="s">
        <v>11</v>
      </c>
      <c r="F26" s="2"/>
    </row>
    <row r="30" spans="1:21" ht="13.8" thickBot="1" x14ac:dyDescent="0.3">
      <c r="A30" s="115" t="s">
        <v>44</v>
      </c>
      <c r="B30" s="115"/>
      <c r="C30" s="115"/>
      <c r="D30" s="115"/>
      <c r="E30" s="115"/>
      <c r="F30" s="29"/>
    </row>
    <row r="31" spans="1:21" ht="13.8" thickBot="1" x14ac:dyDescent="0.3">
      <c r="A31" s="116"/>
      <c r="B31" s="116"/>
      <c r="C31" s="116"/>
      <c r="D31" s="116"/>
      <c r="E31" s="116"/>
      <c r="F31" s="30"/>
      <c r="G31" s="118" t="s">
        <v>49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32"/>
      <c r="T31" s="111" t="s">
        <v>24</v>
      </c>
      <c r="U31" s="111" t="s">
        <v>25</v>
      </c>
    </row>
    <row r="32" spans="1:21" ht="54" customHeight="1" thickBot="1" x14ac:dyDescent="0.3">
      <c r="A32" s="7" t="s">
        <v>1</v>
      </c>
      <c r="B32" s="81" t="s">
        <v>2</v>
      </c>
      <c r="C32" s="109" t="s">
        <v>26</v>
      </c>
      <c r="D32" s="67" t="s">
        <v>3</v>
      </c>
      <c r="E32" s="81" t="s">
        <v>4</v>
      </c>
      <c r="F32" s="34" t="s">
        <v>42</v>
      </c>
      <c r="G32" s="70" t="s">
        <v>12</v>
      </c>
      <c r="H32" s="71" t="s">
        <v>13</v>
      </c>
      <c r="I32" s="72" t="s">
        <v>14</v>
      </c>
      <c r="J32" s="71" t="s">
        <v>15</v>
      </c>
      <c r="K32" s="72" t="s">
        <v>16</v>
      </c>
      <c r="L32" s="71" t="s">
        <v>17</v>
      </c>
      <c r="M32" s="72" t="s">
        <v>18</v>
      </c>
      <c r="N32" s="71" t="s">
        <v>19</v>
      </c>
      <c r="O32" s="72" t="s">
        <v>20</v>
      </c>
      <c r="P32" s="71" t="s">
        <v>21</v>
      </c>
      <c r="Q32" s="72" t="s">
        <v>22</v>
      </c>
      <c r="R32" s="71" t="s">
        <v>23</v>
      </c>
      <c r="S32" s="34" t="s">
        <v>48</v>
      </c>
      <c r="T32" s="112"/>
      <c r="U32" s="112"/>
    </row>
    <row r="33" spans="1:21" ht="13.8" thickBot="1" x14ac:dyDescent="0.3">
      <c r="A33" s="103">
        <v>1</v>
      </c>
      <c r="B33" s="99" t="s">
        <v>34</v>
      </c>
      <c r="C33" s="16">
        <f>D33/D38</f>
        <v>1.1064629562265067</v>
      </c>
      <c r="D33" s="6">
        <f>E33/12</f>
        <v>27375</v>
      </c>
      <c r="E33" s="8">
        <v>328500</v>
      </c>
      <c r="F33" s="83">
        <v>27375</v>
      </c>
      <c r="G33" s="64"/>
      <c r="H33" s="33">
        <v>27375</v>
      </c>
      <c r="I33" s="65">
        <v>27375</v>
      </c>
      <c r="J33" s="33">
        <v>27375</v>
      </c>
      <c r="K33" s="65">
        <v>27375</v>
      </c>
      <c r="L33" s="33">
        <v>27375</v>
      </c>
      <c r="M33" s="65">
        <v>27375</v>
      </c>
      <c r="N33" s="33">
        <v>27375</v>
      </c>
      <c r="O33" s="65">
        <v>27375</v>
      </c>
      <c r="P33" s="33">
        <v>27375</v>
      </c>
      <c r="Q33" s="65">
        <v>27375</v>
      </c>
      <c r="R33" s="33">
        <v>27375</v>
      </c>
      <c r="S33" s="65">
        <v>27375</v>
      </c>
      <c r="T33" s="73">
        <f>SUM(G33:S33)</f>
        <v>328500</v>
      </c>
      <c r="U33" s="9">
        <f>E33-T33</f>
        <v>0</v>
      </c>
    </row>
    <row r="34" spans="1:21" ht="13.8" thickBot="1" x14ac:dyDescent="0.3">
      <c r="A34" s="103">
        <v>2</v>
      </c>
      <c r="B34" s="99" t="s">
        <v>38</v>
      </c>
      <c r="C34" s="16">
        <f>D34/D38</f>
        <v>0.12192986001643695</v>
      </c>
      <c r="D34" s="6">
        <f>E34/12</f>
        <v>3016.6666666666665</v>
      </c>
      <c r="E34" s="8">
        <v>36200</v>
      </c>
      <c r="F34" s="27"/>
      <c r="G34" s="65"/>
      <c r="I34" s="65"/>
      <c r="J34" s="33"/>
      <c r="K34" s="65"/>
      <c r="L34" s="33"/>
      <c r="M34" s="65">
        <v>4598</v>
      </c>
      <c r="N34" s="33"/>
      <c r="O34" s="65"/>
      <c r="P34" s="33"/>
      <c r="Q34" s="65"/>
      <c r="R34" s="33"/>
      <c r="S34" s="65"/>
      <c r="T34" s="73">
        <f>SUM(G34:R34)</f>
        <v>4598</v>
      </c>
      <c r="U34" s="9">
        <f>E34-T34</f>
        <v>31602</v>
      </c>
    </row>
    <row r="35" spans="1:21" ht="13.8" thickBot="1" x14ac:dyDescent="0.3">
      <c r="A35" s="108">
        <v>3</v>
      </c>
      <c r="B35" s="99" t="s">
        <v>35</v>
      </c>
      <c r="C35" s="16">
        <f>D35/D38</f>
        <v>0.14244236961588724</v>
      </c>
      <c r="D35" s="6">
        <f>E35/12</f>
        <v>3524.1666666666665</v>
      </c>
      <c r="E35" s="62">
        <v>42290</v>
      </c>
      <c r="F35" s="63"/>
      <c r="G35" s="95"/>
      <c r="H35" s="33">
        <v>2820</v>
      </c>
      <c r="I35" s="44">
        <v>2820</v>
      </c>
      <c r="J35" s="33"/>
      <c r="K35" s="65"/>
      <c r="L35" s="33">
        <f>1275+2760</f>
        <v>4035</v>
      </c>
      <c r="M35" s="65"/>
      <c r="N35" s="33">
        <v>1275</v>
      </c>
      <c r="O35" s="65">
        <f>1725+1275</f>
        <v>3000</v>
      </c>
      <c r="P35" s="33"/>
      <c r="Q35" s="65"/>
      <c r="R35" s="33"/>
      <c r="S35" s="65"/>
      <c r="T35" s="73">
        <f>SUM(G35:R35)</f>
        <v>13950</v>
      </c>
      <c r="U35" s="9">
        <f>E35-T35</f>
        <v>28340</v>
      </c>
    </row>
    <row r="36" spans="1:21" ht="13.8" thickBot="1" x14ac:dyDescent="0.3">
      <c r="A36" s="113" t="s">
        <v>8</v>
      </c>
      <c r="B36" s="114"/>
      <c r="C36" s="38">
        <f t="shared" ref="C36:S36" si="5">SUM(C33:C35)</f>
        <v>1.3708351858588308</v>
      </c>
      <c r="D36" s="59">
        <f t="shared" si="5"/>
        <v>33915.833333333336</v>
      </c>
      <c r="E36" s="39">
        <f>SUM(E33:E35)</f>
        <v>406990</v>
      </c>
      <c r="F36" s="74">
        <f t="shared" si="5"/>
        <v>27375</v>
      </c>
      <c r="G36" s="76">
        <f t="shared" si="5"/>
        <v>0</v>
      </c>
      <c r="H36" s="77">
        <f t="shared" si="5"/>
        <v>30195</v>
      </c>
      <c r="I36" s="76">
        <f t="shared" si="5"/>
        <v>30195</v>
      </c>
      <c r="J36" s="77">
        <f t="shared" si="5"/>
        <v>27375</v>
      </c>
      <c r="K36" s="76">
        <f t="shared" si="5"/>
        <v>27375</v>
      </c>
      <c r="L36" s="77">
        <f t="shared" si="5"/>
        <v>31410</v>
      </c>
      <c r="M36" s="76">
        <f t="shared" si="5"/>
        <v>31973</v>
      </c>
      <c r="N36" s="77">
        <f t="shared" si="5"/>
        <v>28650</v>
      </c>
      <c r="O36" s="76">
        <f t="shared" si="5"/>
        <v>30375</v>
      </c>
      <c r="P36" s="77">
        <f t="shared" si="5"/>
        <v>27375</v>
      </c>
      <c r="Q36" s="76">
        <f t="shared" si="5"/>
        <v>27375</v>
      </c>
      <c r="R36" s="77">
        <f t="shared" si="5"/>
        <v>27375</v>
      </c>
      <c r="S36" s="76">
        <f t="shared" si="5"/>
        <v>27375</v>
      </c>
      <c r="T36" s="78">
        <f>SUM(T33:T35)</f>
        <v>347048</v>
      </c>
      <c r="U36" s="79">
        <f>E36-T36</f>
        <v>59942</v>
      </c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117" t="s">
        <v>9</v>
      </c>
      <c r="B38" s="117"/>
      <c r="C38" s="15"/>
      <c r="D38" s="1">
        <v>24741</v>
      </c>
      <c r="E38" s="2" t="s">
        <v>10</v>
      </c>
      <c r="F38" s="2"/>
      <c r="G38" s="2"/>
    </row>
    <row r="39" spans="1:21" x14ac:dyDescent="0.25">
      <c r="A39" s="15"/>
      <c r="B39" s="15"/>
      <c r="C39" s="15"/>
      <c r="D39" s="1"/>
      <c r="E39" s="2"/>
      <c r="F39" s="2"/>
    </row>
    <row r="41" spans="1:21" x14ac:dyDescent="0.25">
      <c r="A41" s="110" t="s">
        <v>45</v>
      </c>
      <c r="B41" s="110"/>
      <c r="C41" s="14"/>
    </row>
    <row r="42" spans="1:21" x14ac:dyDescent="0.25">
      <c r="A42" s="110" t="s">
        <v>36</v>
      </c>
      <c r="B42" s="110"/>
      <c r="C42" s="14"/>
      <c r="D42" s="24">
        <f>D36/D38</f>
        <v>1.370835185858831</v>
      </c>
      <c r="E42" s="2" t="s">
        <v>11</v>
      </c>
      <c r="F42" s="2"/>
    </row>
  </sheetData>
  <sheetProtection selectLockedCells="1" selectUnlockedCells="1"/>
  <mergeCells count="21">
    <mergeCell ref="A38:B38"/>
    <mergeCell ref="G31:R31"/>
    <mergeCell ref="A41:B41"/>
    <mergeCell ref="A42:B42"/>
    <mergeCell ref="T31:T32"/>
    <mergeCell ref="A31:E31"/>
    <mergeCell ref="A23:B23"/>
    <mergeCell ref="A24:B24"/>
    <mergeCell ref="U31:U32"/>
    <mergeCell ref="A36:B36"/>
    <mergeCell ref="A1:E1"/>
    <mergeCell ref="A2:E2"/>
    <mergeCell ref="A3:E3"/>
    <mergeCell ref="A16:B16"/>
    <mergeCell ref="A30:E30"/>
    <mergeCell ref="U3:U4"/>
    <mergeCell ref="A18:B18"/>
    <mergeCell ref="A20:B20"/>
    <mergeCell ref="A21:B21"/>
    <mergeCell ref="G3:R3"/>
    <mergeCell ref="T3:T4"/>
  </mergeCells>
  <phoneticPr fontId="3" type="noConversion"/>
  <pageMargins left="0.39370078740157483" right="0.19685039370078741" top="0.78740157480314965" bottom="0.78740157480314965" header="0.51181102362204722" footer="0.51181102362204722"/>
  <pageSetup paperSize="9" scale="59" firstPageNumber="0" orientation="landscape" horizontalDpi="300" verticalDpi="300" r:id="rId1"/>
  <headerFooter alignWithMargins="0"/>
  <ignoredErrors>
    <ignoredError sqref="T34:T3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C1" sqref="C1:E1"/>
    </sheetView>
  </sheetViews>
  <sheetFormatPr defaultRowHeight="13.2" x14ac:dyDescent="0.25"/>
  <cols>
    <col min="1" max="1" width="6.44140625" customWidth="1"/>
    <col min="2" max="2" width="76.88671875" customWidth="1"/>
  </cols>
  <sheetData>
    <row r="1" spans="1:5" ht="57.6" customHeight="1" x14ac:dyDescent="0.25">
      <c r="C1" s="121" t="s">
        <v>50</v>
      </c>
      <c r="D1" s="121"/>
      <c r="E1" s="121"/>
    </row>
    <row r="2" spans="1:5" x14ac:dyDescent="0.25">
      <c r="A2" s="115" t="s">
        <v>0</v>
      </c>
      <c r="B2" s="115"/>
      <c r="C2" s="115"/>
      <c r="D2" s="115"/>
      <c r="E2" s="115"/>
    </row>
    <row r="3" spans="1:5" x14ac:dyDescent="0.25">
      <c r="A3" s="115" t="s">
        <v>43</v>
      </c>
      <c r="B3" s="115"/>
      <c r="C3" s="115"/>
      <c r="D3" s="115"/>
      <c r="E3" s="115"/>
    </row>
    <row r="4" spans="1:5" ht="13.8" thickBot="1" x14ac:dyDescent="0.3">
      <c r="A4" s="116"/>
      <c r="B4" s="116"/>
      <c r="C4" s="116"/>
      <c r="D4" s="116"/>
      <c r="E4" s="116"/>
    </row>
    <row r="5" spans="1:5" ht="53.4" thickBot="1" x14ac:dyDescent="0.3">
      <c r="A5" s="4" t="s">
        <v>1</v>
      </c>
      <c r="B5" s="89" t="s">
        <v>2</v>
      </c>
      <c r="C5" s="81" t="s">
        <v>26</v>
      </c>
      <c r="D5" s="66" t="s">
        <v>3</v>
      </c>
      <c r="E5" s="7" t="s">
        <v>4</v>
      </c>
    </row>
    <row r="6" spans="1:5" ht="13.8" thickBot="1" x14ac:dyDescent="0.3">
      <c r="A6" s="42">
        <v>1</v>
      </c>
      <c r="B6" s="90" t="s">
        <v>47</v>
      </c>
      <c r="C6" s="84">
        <f>D6/D19</f>
        <v>1.3276042084973094</v>
      </c>
      <c r="D6" s="36">
        <f t="shared" ref="D6:D16" si="0">E6/12</f>
        <v>33060</v>
      </c>
      <c r="E6" s="40">
        <v>396720</v>
      </c>
    </row>
    <row r="7" spans="1:5" ht="13.8" thickBot="1" x14ac:dyDescent="0.3">
      <c r="A7" s="13">
        <v>2</v>
      </c>
      <c r="B7" s="91" t="s">
        <v>5</v>
      </c>
      <c r="C7" s="85">
        <f>D7/D19</f>
        <v>0.50662597381736407</v>
      </c>
      <c r="D7" s="37">
        <f t="shared" si="0"/>
        <v>12616</v>
      </c>
      <c r="E7" s="46">
        <v>151392</v>
      </c>
    </row>
    <row r="8" spans="1:5" ht="13.8" thickBot="1" x14ac:dyDescent="0.3">
      <c r="A8" s="45">
        <v>3</v>
      </c>
      <c r="B8" s="90" t="s">
        <v>6</v>
      </c>
      <c r="C8" s="84">
        <f>D8/D19</f>
        <v>1.5059031403100153E-2</v>
      </c>
      <c r="D8" s="36">
        <f t="shared" si="0"/>
        <v>375</v>
      </c>
      <c r="E8" s="40">
        <v>4500</v>
      </c>
    </row>
    <row r="9" spans="1:5" ht="13.8" thickBot="1" x14ac:dyDescent="0.3">
      <c r="A9" s="17">
        <v>4</v>
      </c>
      <c r="B9" s="91" t="s">
        <v>27</v>
      </c>
      <c r="C9" s="85">
        <f>D9/D19</f>
        <v>5.4212513051160552E-2</v>
      </c>
      <c r="D9" s="37">
        <f t="shared" si="0"/>
        <v>1350</v>
      </c>
      <c r="E9" s="41">
        <v>16200</v>
      </c>
    </row>
    <row r="10" spans="1:5" ht="13.8" thickBot="1" x14ac:dyDescent="0.3">
      <c r="A10" s="35">
        <v>5</v>
      </c>
      <c r="B10" s="92" t="s">
        <v>40</v>
      </c>
      <c r="C10" s="86">
        <f>D10/D19</f>
        <v>1.1324391615131315</v>
      </c>
      <c r="D10" s="54">
        <f t="shared" si="0"/>
        <v>28200</v>
      </c>
      <c r="E10" s="55">
        <v>338400</v>
      </c>
    </row>
    <row r="11" spans="1:5" ht="13.8" thickBot="1" x14ac:dyDescent="0.3">
      <c r="A11" s="12">
        <v>6</v>
      </c>
      <c r="B11" s="91" t="s">
        <v>41</v>
      </c>
      <c r="C11" s="85">
        <f>D11/D19</f>
        <v>0.10708644553315663</v>
      </c>
      <c r="D11" s="37">
        <f t="shared" si="0"/>
        <v>2666.6666666666665</v>
      </c>
      <c r="E11" s="46">
        <v>32000</v>
      </c>
    </row>
    <row r="12" spans="1:5" ht="13.8" thickBot="1" x14ac:dyDescent="0.3">
      <c r="A12" s="35">
        <v>7</v>
      </c>
      <c r="B12" s="90" t="s">
        <v>37</v>
      </c>
      <c r="C12" s="84">
        <f>D12/D19</f>
        <v>8.0314834149867481E-2</v>
      </c>
      <c r="D12" s="36">
        <f t="shared" si="0"/>
        <v>2000</v>
      </c>
      <c r="E12" s="40">
        <v>24000</v>
      </c>
    </row>
    <row r="13" spans="1:5" ht="13.8" thickBot="1" x14ac:dyDescent="0.3">
      <c r="A13" s="25">
        <v>8</v>
      </c>
      <c r="B13" s="91" t="s">
        <v>39</v>
      </c>
      <c r="C13" s="87">
        <f>D13/D19</f>
        <v>2.5098385671833586E-2</v>
      </c>
      <c r="D13" s="37">
        <f t="shared" si="0"/>
        <v>625</v>
      </c>
      <c r="E13" s="46">
        <v>7500</v>
      </c>
    </row>
    <row r="14" spans="1:5" ht="13.8" thickBot="1" x14ac:dyDescent="0.3">
      <c r="A14" s="45">
        <v>9</v>
      </c>
      <c r="B14" s="93" t="s">
        <v>28</v>
      </c>
      <c r="C14" s="88">
        <f>D14/D19</f>
        <v>0.33464514229111453</v>
      </c>
      <c r="D14" s="36">
        <f t="shared" si="0"/>
        <v>8333.3333333333339</v>
      </c>
      <c r="E14" s="8">
        <v>100000</v>
      </c>
    </row>
    <row r="15" spans="1:5" ht="13.8" thickBot="1" x14ac:dyDescent="0.3">
      <c r="A15" s="11">
        <v>10</v>
      </c>
      <c r="B15" s="94" t="s">
        <v>46</v>
      </c>
      <c r="C15" s="85">
        <f>D15/D19</f>
        <v>1.0039354268733435E-2</v>
      </c>
      <c r="D15" s="37">
        <f t="shared" si="0"/>
        <v>250</v>
      </c>
      <c r="E15" s="58">
        <v>3000</v>
      </c>
    </row>
    <row r="16" spans="1:5" ht="13.8" thickBot="1" x14ac:dyDescent="0.3">
      <c r="A16" s="57">
        <v>11</v>
      </c>
      <c r="B16" s="90" t="s">
        <v>7</v>
      </c>
      <c r="C16" s="84">
        <f>D16/D19</f>
        <v>1.6732257114555726E-2</v>
      </c>
      <c r="D16" s="36">
        <f t="shared" si="0"/>
        <v>416.66666666666669</v>
      </c>
      <c r="E16" s="8">
        <v>5000</v>
      </c>
    </row>
    <row r="17" spans="1:5" ht="13.8" thickBot="1" x14ac:dyDescent="0.3">
      <c r="A17" s="122" t="s">
        <v>8</v>
      </c>
      <c r="B17" s="114"/>
      <c r="C17" s="38">
        <f>SUM(C6:C16)</f>
        <v>3.6098573073113269</v>
      </c>
      <c r="D17" s="59">
        <f>SUM(D6:D16)</f>
        <v>89892.666666666672</v>
      </c>
      <c r="E17" s="39">
        <f>SUM(E6:E16)</f>
        <v>1078712</v>
      </c>
    </row>
    <row r="18" spans="1:5" x14ac:dyDescent="0.25">
      <c r="A18" s="5"/>
      <c r="B18" s="5"/>
      <c r="C18" s="5"/>
      <c r="D18" s="5"/>
      <c r="E18" s="5"/>
    </row>
    <row r="19" spans="1:5" x14ac:dyDescent="0.25">
      <c r="A19" s="117" t="s">
        <v>9</v>
      </c>
      <c r="B19" s="117"/>
      <c r="C19" s="15"/>
      <c r="D19" s="1">
        <v>24902</v>
      </c>
      <c r="E19" s="2" t="s">
        <v>10</v>
      </c>
    </row>
    <row r="20" spans="1:5" x14ac:dyDescent="0.25">
      <c r="A20" s="15"/>
      <c r="B20" s="15"/>
      <c r="C20" s="15"/>
      <c r="D20" s="1"/>
      <c r="E20" s="2"/>
    </row>
    <row r="21" spans="1:5" x14ac:dyDescent="0.25">
      <c r="A21" s="117" t="s">
        <v>30</v>
      </c>
      <c r="B21" s="117"/>
      <c r="C21" s="15"/>
      <c r="D21" s="18">
        <v>2490</v>
      </c>
      <c r="E21" s="19" t="s">
        <v>10</v>
      </c>
    </row>
    <row r="22" spans="1:5" x14ac:dyDescent="0.25">
      <c r="A22" s="117" t="s">
        <v>31</v>
      </c>
      <c r="B22" s="117"/>
      <c r="C22" s="15"/>
      <c r="D22" s="18">
        <f>D21*9</f>
        <v>22410</v>
      </c>
      <c r="E22" s="19" t="s">
        <v>10</v>
      </c>
    </row>
    <row r="23" spans="1:5" x14ac:dyDescent="0.25">
      <c r="A23" s="5"/>
      <c r="B23" s="5"/>
      <c r="C23" s="5"/>
      <c r="D23" s="5"/>
      <c r="E23" s="5"/>
    </row>
    <row r="24" spans="1:5" x14ac:dyDescent="0.25">
      <c r="A24" s="110" t="s">
        <v>45</v>
      </c>
      <c r="B24" s="110"/>
      <c r="C24" s="14"/>
    </row>
    <row r="25" spans="1:5" x14ac:dyDescent="0.25">
      <c r="A25" s="110" t="s">
        <v>29</v>
      </c>
      <c r="B25" s="110"/>
      <c r="C25" s="14"/>
      <c r="D25" s="22">
        <f>D17/D19</f>
        <v>3.6098573073113274</v>
      </c>
      <c r="E25" s="19" t="s">
        <v>11</v>
      </c>
    </row>
    <row r="26" spans="1:5" x14ac:dyDescent="0.25">
      <c r="B26" s="21" t="s">
        <v>32</v>
      </c>
      <c r="C26" s="20"/>
      <c r="D26" s="23">
        <f>D17/(D21+2*D22)</f>
        <v>1.9000775029944339</v>
      </c>
      <c r="E26" s="2" t="s">
        <v>11</v>
      </c>
    </row>
    <row r="27" spans="1:5" x14ac:dyDescent="0.25">
      <c r="B27" s="21" t="s">
        <v>33</v>
      </c>
      <c r="C27" s="21"/>
      <c r="D27" s="23">
        <f>2*D26</f>
        <v>3.8001550059888678</v>
      </c>
      <c r="E27" s="2" t="s">
        <v>11</v>
      </c>
    </row>
    <row r="31" spans="1:5" x14ac:dyDescent="0.25">
      <c r="A31" s="115" t="s">
        <v>44</v>
      </c>
      <c r="B31" s="115"/>
      <c r="C31" s="115"/>
      <c r="D31" s="115"/>
      <c r="E31" s="115"/>
    </row>
    <row r="32" spans="1:5" ht="13.8" thickBot="1" x14ac:dyDescent="0.3">
      <c r="A32" s="116"/>
      <c r="B32" s="116"/>
      <c r="C32" s="116"/>
      <c r="D32" s="116"/>
      <c r="E32" s="116"/>
    </row>
    <row r="33" spans="1:5" ht="53.4" thickBot="1" x14ac:dyDescent="0.3">
      <c r="A33" s="4" t="s">
        <v>1</v>
      </c>
      <c r="B33" s="67" t="s">
        <v>2</v>
      </c>
      <c r="C33" s="80" t="s">
        <v>26</v>
      </c>
      <c r="D33" s="67" t="s">
        <v>3</v>
      </c>
      <c r="E33" s="81" t="s">
        <v>4</v>
      </c>
    </row>
    <row r="34" spans="1:5" ht="13.8" thickBot="1" x14ac:dyDescent="0.3">
      <c r="A34" s="45">
        <v>1</v>
      </c>
      <c r="B34" s="60" t="s">
        <v>34</v>
      </c>
      <c r="C34" s="16">
        <f>D34/D39</f>
        <v>1.1064629562265067</v>
      </c>
      <c r="D34" s="6">
        <f>E34/12</f>
        <v>27375</v>
      </c>
      <c r="E34" s="8">
        <v>328500</v>
      </c>
    </row>
    <row r="35" spans="1:5" ht="13.8" thickBot="1" x14ac:dyDescent="0.3">
      <c r="A35" s="11">
        <v>2</v>
      </c>
      <c r="B35" s="3" t="s">
        <v>38</v>
      </c>
      <c r="C35" s="16">
        <f>D35/D39</f>
        <v>0.12192986001643695</v>
      </c>
      <c r="D35" s="6">
        <f>E35/12</f>
        <v>3016.6666666666665</v>
      </c>
      <c r="E35" s="8">
        <v>36200</v>
      </c>
    </row>
    <row r="36" spans="1:5" ht="13.8" thickBot="1" x14ac:dyDescent="0.3">
      <c r="A36" s="61">
        <v>3</v>
      </c>
      <c r="B36" s="60" t="s">
        <v>35</v>
      </c>
      <c r="C36" s="16">
        <f>D36/D39</f>
        <v>0.14146558344448487</v>
      </c>
      <c r="D36" s="6">
        <f>E36/12</f>
        <v>3500</v>
      </c>
      <c r="E36" s="62">
        <v>42000</v>
      </c>
    </row>
    <row r="37" spans="1:5" ht="13.8" thickBot="1" x14ac:dyDescent="0.3">
      <c r="A37" s="122" t="s">
        <v>8</v>
      </c>
      <c r="B37" s="123"/>
      <c r="C37" s="38">
        <f>SUM(C34:C36)</f>
        <v>1.3698583996874285</v>
      </c>
      <c r="D37" s="59">
        <f>SUM(D34:D36)</f>
        <v>33891.666666666672</v>
      </c>
      <c r="E37" s="39">
        <f>SUM(E34:E36)</f>
        <v>406700</v>
      </c>
    </row>
    <row r="38" spans="1:5" x14ac:dyDescent="0.25">
      <c r="A38" s="5"/>
      <c r="B38" s="5"/>
      <c r="C38" s="5"/>
      <c r="D38" s="5"/>
      <c r="E38" s="5"/>
    </row>
    <row r="39" spans="1:5" x14ac:dyDescent="0.25">
      <c r="A39" s="117" t="s">
        <v>9</v>
      </c>
      <c r="B39" s="117"/>
      <c r="C39" s="15"/>
      <c r="D39" s="1">
        <v>24741</v>
      </c>
      <c r="E39" s="2" t="s">
        <v>10</v>
      </c>
    </row>
    <row r="40" spans="1:5" x14ac:dyDescent="0.25">
      <c r="A40" s="15"/>
      <c r="B40" s="15"/>
      <c r="C40" s="15"/>
      <c r="D40" s="1"/>
      <c r="E40" s="2"/>
    </row>
    <row r="42" spans="1:5" x14ac:dyDescent="0.25">
      <c r="A42" s="110" t="s">
        <v>45</v>
      </c>
      <c r="B42" s="110"/>
      <c r="C42" s="14"/>
    </row>
    <row r="43" spans="1:5" x14ac:dyDescent="0.25">
      <c r="A43" s="110" t="s">
        <v>36</v>
      </c>
      <c r="B43" s="110"/>
      <c r="C43" s="14"/>
      <c r="D43" s="24">
        <f>D37/D39</f>
        <v>1.3698583996874287</v>
      </c>
      <c r="E43" s="2" t="s">
        <v>11</v>
      </c>
    </row>
  </sheetData>
  <mergeCells count="16">
    <mergeCell ref="A21:B21"/>
    <mergeCell ref="A39:B39"/>
    <mergeCell ref="A42:B42"/>
    <mergeCell ref="A43:B43"/>
    <mergeCell ref="C1:E1"/>
    <mergeCell ref="A22:B22"/>
    <mergeCell ref="A24:B24"/>
    <mergeCell ref="A25:B25"/>
    <mergeCell ref="A31:E31"/>
    <mergeCell ref="A32:E32"/>
    <mergeCell ref="A37:B37"/>
    <mergeCell ref="A2:E2"/>
    <mergeCell ref="A3:E3"/>
    <mergeCell ref="A4:E4"/>
    <mergeCell ref="A17:B17"/>
    <mergeCell ref="A19:B19"/>
  </mergeCells>
  <phoneticPr fontId="3" type="noConversion"/>
  <pageMargins left="0.35433070866141736" right="0" top="0.39370078740157483" bottom="0.39370078740157483" header="0.51181102362204722" footer="0.51181102362204722"/>
  <pageSetup paperSize="9" scale="9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Лях</dc:creator>
  <cp:lastModifiedBy>admin</cp:lastModifiedBy>
  <cp:lastPrinted>2014-01-25T07:09:33Z</cp:lastPrinted>
  <dcterms:created xsi:type="dcterms:W3CDTF">2010-01-09T09:21:13Z</dcterms:created>
  <dcterms:modified xsi:type="dcterms:W3CDTF">2014-02-04T11:44:50Z</dcterms:modified>
</cp:coreProperties>
</file>